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3.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4.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6.xml" ContentType="application/vnd.openxmlformats-officedocument.drawingml.chartshapes+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7.xml" ContentType="application/vnd.openxmlformats-officedocument.drawingml.chartshapes+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8.xml" ContentType="application/vnd.openxmlformats-officedocument.drawing+xml"/>
  <Override PartName="/xl/charts/chart33.xml" ContentType="application/vnd.openxmlformats-officedocument.drawingml.chart+xml"/>
  <Override PartName="/xl/charts/style32.xml" ContentType="application/vnd.ms-office.chartstyle+xml"/>
  <Override PartName="/xl/charts/colors32.xml" ContentType="application/vnd.ms-office.chartcolorstyle+xml"/>
  <Override PartName="/xl/charts/chart34.xml" ContentType="application/vnd.openxmlformats-officedocument.drawingml.chart+xml"/>
  <Override PartName="/xl/charts/style33.xml" ContentType="application/vnd.ms-office.chartstyle+xml"/>
  <Override PartName="/xl/charts/colors33.xml" ContentType="application/vnd.ms-office.chartcolorstyle+xml"/>
  <Override PartName="/xl/charts/chart35.xml" ContentType="application/vnd.openxmlformats-officedocument.drawingml.chart+xml"/>
  <Override PartName="/xl/charts/style34.xml" ContentType="application/vnd.ms-office.chartstyle+xml"/>
  <Override PartName="/xl/charts/colors34.xml" ContentType="application/vnd.ms-office.chartcolorstyle+xml"/>
  <Override PartName="/xl/charts/chart36.xml" ContentType="application/vnd.openxmlformats-officedocument.drawingml.chart+xml"/>
  <Override PartName="/xl/charts/style35.xml" ContentType="application/vnd.ms-office.chartstyle+xml"/>
  <Override PartName="/xl/charts/colors35.xml" ContentType="application/vnd.ms-office.chartcolorstyle+xml"/>
  <Override PartName="/xl/charts/chart37.xml" ContentType="application/vnd.openxmlformats-officedocument.drawingml.chart+xml"/>
  <Override PartName="/xl/charts/style36.xml" ContentType="application/vnd.ms-office.chartstyle+xml"/>
  <Override PartName="/xl/charts/colors36.xml" ContentType="application/vnd.ms-office.chartcolorstyle+xml"/>
  <Override PartName="/xl/charts/chart38.xml" ContentType="application/vnd.openxmlformats-officedocument.drawingml.chart+xml"/>
  <Override PartName="/xl/charts/style37.xml" ContentType="application/vnd.ms-office.chartstyle+xml"/>
  <Override PartName="/xl/charts/colors37.xml" ContentType="application/vnd.ms-office.chartcolorstyle+xml"/>
  <Override PartName="/xl/charts/chart39.xml" ContentType="application/vnd.openxmlformats-officedocument.drawingml.chart+xml"/>
  <Override PartName="/xl/charts/style38.xml" ContentType="application/vnd.ms-office.chartstyle+xml"/>
  <Override PartName="/xl/charts/colors38.xml" ContentType="application/vnd.ms-office.chartcolorstyle+xml"/>
  <Override PartName="/xl/charts/chart40.xml" ContentType="application/vnd.openxmlformats-officedocument.drawingml.chart+xml"/>
  <Override PartName="/xl/charts/style39.xml" ContentType="application/vnd.ms-office.chartstyle+xml"/>
  <Override PartName="/xl/charts/colors39.xml" ContentType="application/vnd.ms-office.chartcolorstyle+xml"/>
  <Override PartName="/xl/charts/chart41.xml" ContentType="application/vnd.openxmlformats-officedocument.drawingml.chart+xml"/>
  <Override PartName="/xl/charts/style40.xml" ContentType="application/vnd.ms-office.chartstyle+xml"/>
  <Override PartName="/xl/charts/colors40.xml" ContentType="application/vnd.ms-office.chartcolorstyle+xml"/>
  <Override PartName="/xl/charts/chart42.xml" ContentType="application/vnd.openxmlformats-officedocument.drawingml.chart+xml"/>
  <Override PartName="/xl/charts/style41.xml" ContentType="application/vnd.ms-office.chartstyle+xml"/>
  <Override PartName="/xl/charts/colors41.xml" ContentType="application/vnd.ms-office.chartcolorstyle+xml"/>
  <Override PartName="/xl/charts/chart43.xml" ContentType="application/vnd.openxmlformats-officedocument.drawingml.chart+xml"/>
  <Override PartName="/xl/charts/style42.xml" ContentType="application/vnd.ms-office.chartstyle+xml"/>
  <Override PartName="/xl/charts/colors42.xml" ContentType="application/vnd.ms-office.chartcolorstyle+xml"/>
  <Override PartName="/xl/charts/chart44.xml" ContentType="application/vnd.openxmlformats-officedocument.drawingml.chart+xml"/>
  <Override PartName="/xl/charts/style43.xml" ContentType="application/vnd.ms-office.chartstyle+xml"/>
  <Override PartName="/xl/charts/colors43.xml" ContentType="application/vnd.ms-office.chartcolorstyle+xml"/>
  <Override PartName="/xl/charts/chart45.xml" ContentType="application/vnd.openxmlformats-officedocument.drawingml.chart+xml"/>
  <Override PartName="/xl/charts/style44.xml" ContentType="application/vnd.ms-office.chartstyle+xml"/>
  <Override PartName="/xl/charts/colors44.xml" ContentType="application/vnd.ms-office.chartcolorstyle+xml"/>
  <Override PartName="/xl/charts/chart46.xml" ContentType="application/vnd.openxmlformats-officedocument.drawingml.chart+xml"/>
  <Override PartName="/xl/charts/style45.xml" ContentType="application/vnd.ms-office.chartstyle+xml"/>
  <Override PartName="/xl/charts/colors45.xml" ContentType="application/vnd.ms-office.chartcolorstyle+xml"/>
  <Override PartName="/xl/charts/chart47.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9.xml" ContentType="application/vnd.openxmlformats-officedocument.drawing+xml"/>
  <Override PartName="/xl/charts/chart48.xml" ContentType="application/vnd.openxmlformats-officedocument.drawingml.chart+xml"/>
  <Override PartName="/xl/charts/style47.xml" ContentType="application/vnd.ms-office.chartstyle+xml"/>
  <Override PartName="/xl/charts/colors47.xml" ContentType="application/vnd.ms-office.chartcolorstyle+xml"/>
  <Override PartName="/xl/charts/chart49.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10.xml" ContentType="application/vnd.openxmlformats-officedocument.drawingml.chartshapes+xml"/>
  <Override PartName="/xl/charts/chart50.xml" ContentType="application/vnd.openxmlformats-officedocument.drawingml.chart+xml"/>
  <Override PartName="/xl/charts/style49.xml" ContentType="application/vnd.ms-office.chartstyle+xml"/>
  <Override PartName="/xl/charts/colors49.xml" ContentType="application/vnd.ms-office.chartcolorstyle+xml"/>
  <Override PartName="/xl/charts/chart51.xml" ContentType="application/vnd.openxmlformats-officedocument.drawingml.chart+xml"/>
  <Override PartName="/xl/charts/style50.xml" ContentType="application/vnd.ms-office.chartstyle+xml"/>
  <Override PartName="/xl/charts/colors50.xml" ContentType="application/vnd.ms-office.chartcolorstyle+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threadedComments/threadedComment3.xml" ContentType="application/vnd.ms-excel.threadedcomments+xml"/>
  <Override PartName="/xl/drawings/drawing11.xml" ContentType="application/vnd.openxmlformats-officedocument.drawing+xml"/>
  <Override PartName="/xl/charts/chart52.xml" ContentType="application/vnd.openxmlformats-officedocument.drawingml.chart+xml"/>
  <Override PartName="/xl/charts/style51.xml" ContentType="application/vnd.ms-office.chartstyle+xml"/>
  <Override PartName="/xl/charts/colors51.xml" ContentType="application/vnd.ms-office.chartcolorstyle+xml"/>
  <Override PartName="/xl/charts/chart53.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12.xml" ContentType="application/vnd.openxmlformats-officedocument.drawing+xml"/>
  <Override PartName="/xl/comments10.xml" ContentType="application/vnd.openxmlformats-officedocument.spreadsheetml.comments+xml"/>
  <Override PartName="/xl/charts/chart54.xml" ContentType="application/vnd.openxmlformats-officedocument.drawingml.chart+xml"/>
  <Override PartName="/xl/charts/style53.xml" ContentType="application/vnd.ms-office.chartstyle+xml"/>
  <Override PartName="/xl/charts/colors53.xml" ContentType="application/vnd.ms-office.chartcolorstyle+xml"/>
  <Override PartName="/xl/charts/chart55.xml" ContentType="application/vnd.openxmlformats-officedocument.drawingml.chart+xml"/>
  <Override PartName="/xl/charts/style54.xml" ContentType="application/vnd.ms-office.chartstyle+xml"/>
  <Override PartName="/xl/charts/colors54.xml" ContentType="application/vnd.ms-office.chartcolorstyle+xml"/>
  <Override PartName="/xl/persons/person.xml" ContentType="application/vnd.ms-excel.person+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codeName="{564CA151-5A5B-428A-3C10-775976492406}"/>
  <workbookPr codeName="ThisWorkbook" defaultThemeVersion="124226"/>
  <mc:AlternateContent xmlns:mc="http://schemas.openxmlformats.org/markup-compatibility/2006">
    <mc:Choice Requires="x15">
      <x15ac:absPath xmlns:x15ac="http://schemas.microsoft.com/office/spreadsheetml/2010/11/ac" url="C:\Users\Ralf Peek\Documents\w\Spans\scp\"/>
    </mc:Choice>
  </mc:AlternateContent>
  <xr:revisionPtr revIDLastSave="0" documentId="13_ncr:1_{45729265-AF7C-45F8-96C5-A257DE19C8CB}" xr6:coauthVersionLast="45" xr6:coauthVersionMax="47" xr10:uidLastSave="{00000000-0000-0000-0000-000000000000}"/>
  <bookViews>
    <workbookView xWindow="-120" yWindow="-120" windowWidth="29040" windowHeight="17640" activeTab="5" xr2:uid="{00000000-000D-0000-FFFF-FFFF00000000}"/>
  </bookViews>
  <sheets>
    <sheet name="Cont" sheetId="1" r:id="rId1"/>
    <sheet name="Misc" sheetId="8" r:id="rId2"/>
    <sheet name="c" sheetId="3" r:id="rId3"/>
    <sheet name="m" sheetId="4" r:id="rId4"/>
    <sheet name="Plt_1" sheetId="6" r:id="rId5"/>
    <sheet name="Plt_2" sheetId="5" r:id="rId6"/>
    <sheet name="Plt_3" sheetId="7" r:id="rId7"/>
    <sheet name="Plt_4" sheetId="12" r:id="rId8"/>
    <sheet name="u9" sheetId="10" r:id="rId9"/>
    <sheet name="u9a" sheetId="11" r:id="rId10"/>
    <sheet name="u9p" sheetId="13" r:id="rId11"/>
    <sheet name="u9ap" sheetId="14" r:id="rId12"/>
    <sheet name="fit" sheetId="15" r:id="rId13"/>
    <sheet name="scratch" sheetId="9" r:id="rId14"/>
    <sheet name="VIVANA_para" sheetId="17" r:id="rId15"/>
    <sheet name="VIVANA_res" sheetId="16" r:id="rId16"/>
  </sheets>
  <functionGroups builtInGroupCount="19"/>
  <definedNames>
    <definedName name="_Hlk86152109" localSheetId="2">'c'!$C$235</definedName>
    <definedName name="_Hlk87363392" localSheetId="2">'c'!$C$234</definedName>
    <definedName name="a_1CF" comment="epsilonCF_e_tilde fit 2 parameter 1">fit!$D$29</definedName>
    <definedName name="a_1IL" comment="epsilonIL_e_tilde fit 2 parameter 1">fit!$D$34</definedName>
    <definedName name="a_2CF" comment="epsilonCF_e_tilde fit 2 parameter 2">fit!$D$30</definedName>
    <definedName name="a_2IL" comment="epsilonIL_e_tilde fit 2 parameter 2">fit!$D$35</definedName>
    <definedName name="AETL" comment="Allowable exposure time from SpanFat with Sheet u9 as input file, IL.">'c'!$G$171</definedName>
    <definedName name="AETL_a" comment="Allowable exposure time from SpanFat with Sheet u9a as input file, IL.  (years) includes arch action">'c'!$G$177</definedName>
    <definedName name="AETL_ap" comment="Prototype Allowable exposure time from SpanFat (including arch action) with Sheet u9ap as input file, IL.  (years)">'c'!$G$268</definedName>
    <definedName name="AETL_p" comment="Prototype Allowable exposure time from SpanFat with Sheet u9p as input file, IL.  (years)">'c'!$G$259</definedName>
    <definedName name="AETV" comment="Allowable exposure time from SpanFat with Sheet u9 as input file, CF.">'c'!$G$170</definedName>
    <definedName name="AETV_a" comment="Allowable exposure time from SpanFat with Sheet u9a as input file, CF.  (years) includes arch action">'c'!$G$176</definedName>
    <definedName name="AETV_ap" comment="Prototype Allowable exposure time from SpanFat (including arch action) with Sheet u9ap as input file, CF.  (years)">'c'!$G$267</definedName>
    <definedName name="AETV_p" comment="Prototype Allowable exposure time from SpanFat with Sheet u9p as input file, CF.  (years)">'c'!$G$258</definedName>
    <definedName name="afat" comment="Fatigue constant “a” in N=a/Sn, where N denotes number of cycles to failure S the stress range">'c'!$G$82</definedName>
    <definedName name="AmbBeh" comment="Ambivalent VIV behaviour">'c'!$G$76</definedName>
    <definedName name="aod" comment="A/D ratio for free vibration test to determing damping in still water" localSheetId="1">'c'!$G$88</definedName>
    <definedName name="aod" comment="A/D ratio for free vibration test to determing damping in still water">'c'!$G$88</definedName>
    <definedName name="AoDmax" comment="Maximum allowed displacement/diameter">'c'!$G$75</definedName>
    <definedName name="avivCF" comment="reference CF viv amplitude (m)">'c'!$G$146</definedName>
    <definedName name="b_1CF" comment="epsilonCF_e_tilde fit 3 parameter 1">fit!$D$46</definedName>
    <definedName name="b_1IL" comment="epsilonCF_e_tilde fit 3 parameter 1">fit!$D$55</definedName>
    <definedName name="b_2CF" comment="epsilonCF_e_tilde fit 3 parameter 2">fit!$D$47</definedName>
    <definedName name="b_2IL" comment="epsilonCF_e_tilde fit 3 parameter 2">fit!$D$56</definedName>
    <definedName name="b_3CF" comment="epsilonCF_e_tilde fit 3 parameter 3">fit!$D$48</definedName>
    <definedName name="b_3IL" comment="epsilonCF_e_tilde fit 3 parameter 3">fit!$D$57</definedName>
    <definedName name="c_1CF" comment="epsilonCF_e_tilde  fit 1 parameter 1">fit!$D$11</definedName>
    <definedName name="c_1IL" comment="epsilonIL_e_tilde  fit 1 parameter 1">fit!$D$20</definedName>
    <definedName name="c_2CF" comment="epsilonCF_e_tilde  fit 1 parameter 2">fit!$D$12</definedName>
    <definedName name="c_2IL" comment="epsilonIL_e_tilde  fit 1 parameter 2">fit!$D$21</definedName>
    <definedName name="c_3CF" comment="epsilonCF_e_tilde  fit 1 parameter 3">fit!$D$13</definedName>
    <definedName name="c_3IL" comment="epsilonIL_e_tilde  fit 1 parameter 3">fit!$D$22</definedName>
    <definedName name="cd" comment="Drag coefficient based on change in axial force,  cdss(qw, qq_1, nns, nnd, cl, ei, ea, kk)">'c'!$G$125</definedName>
    <definedName name="Cd_p" comment="Drag coefficient for prototype pipe">'c'!$G$197</definedName>
    <definedName name="ceff" comment="Effective mass coefficient">'c'!$G$99</definedName>
    <definedName name="Ck" comment="flexural stiffness proportional damping ratio  (N m^2 s)">'c'!$G$140</definedName>
    <definedName name="Ck_tilde" comment="Normalized flexural stiffness proportional damping ratio  C̃κ = π3 Cκ ceff/[EI Tst (1+Ñ)]">'c'!$G$142</definedName>
    <definedName name="cpipe" comment="Calculated mass ratio (deemed more reliable than mratio)">'c'!$G$123</definedName>
    <definedName name="CurrentFolder">Cont!$C$28</definedName>
    <definedName name="cv" comment="Venugopal Damping Coefficient (Ns/m^2) in still water, CfVenugopal(rho, od, rew, uc, a, f, UR_range As String)">'c'!$G$138</definedName>
    <definedName name="d_1CF" comment="epsilonCF_e_tilde  fit 4 parameter 1">fit!$D$67</definedName>
    <definedName name="d_1IL" comment="epsilonIL_e_tilde  fit 4 parameter 1">fit!$D$77</definedName>
    <definedName name="d_2CF" comment="epsilonCF_e_tilde  fit 4 parameter 2">fit!$D$68</definedName>
    <definedName name="d_2IL" comment="epsilonIL_e_tilde  fit 4 parameter 2">fit!$D$78</definedName>
    <definedName name="d_3CF" comment="epsilonCF_e_tilde  fit 4 parameter 3">fit!$D$69</definedName>
    <definedName name="d_3IL" comment="epsilonIL_e_tilde  fit 4 parameter 3">fit!$D$79</definedName>
    <definedName name="d_4CF" comment="epsilonCF_e_tilde  fit 4 parameter 4">fit!$D$70</definedName>
    <definedName name="d_4IL" comment="epsilonIL_e_tilde  fit 4 parameter 4">fit!$D$80</definedName>
    <definedName name="Dc" comment="outer diameter including coatings">'c'!$G$32</definedName>
    <definedName name="Dc_p" comment="Outer diameter including coatings for prototype pipe (m)">'c'!$G$204</definedName>
    <definedName name="DispCF_max" comment="Maximum cross flow displacement (max over x and t)">'c'!$G$41</definedName>
    <definedName name="DispCF_maxloc" comment="location x of DispCF_max">'c'!$G$42</definedName>
    <definedName name="DispCF_rms" comment="sqrt(2) times stdev of cross flow displacement over t at location x where this is highest">'c'!$G$43</definedName>
    <definedName name="DispCF_rmsloc" comment="location x of DispCF_rms">'c'!$G$44</definedName>
    <definedName name="DispIL_max" comment="Maximum in line displacement (max over x and t)">'c'!$G$45</definedName>
    <definedName name="DispIL_maxloc" comment="location x of DispIL_max">'c'!$G$46</definedName>
    <definedName name="DispIL_rms" comment="sqrt(2) times stdev of in line displacement over t at location x where this is highest">'c'!$G$47</definedName>
    <definedName name="DispIL_rmsloc" comment="location x of DispIL_rms">'c'!$G$48</definedName>
    <definedName name="dNarch" comment="reference dynamic axial forces due to arch action (N)">'c'!$G$147</definedName>
    <definedName name="dNnl" comment="reference dynamic axial force due to nonlinear effects (N)">'c'!$G$148</definedName>
    <definedName name="dratio" comment="Structural / Hydraulic Diameter ratio (should be less than 1, but very small becomes suspicious)">'c'!$G$127</definedName>
    <definedName name="Ds" comment="Outer diameter of steel pipe (m)">'c'!$G$185</definedName>
    <definedName name="E_p" comment="Young's modulus of steel (MPa)">'c'!$G$194</definedName>
    <definedName name="EA" comment="Axial rigidity of Pipe">'c'!$G$36</definedName>
    <definedName name="EA_p" comment="Axial rigidity for prototype pipe (MN)">'c'!$G$210</definedName>
    <definedName name="Edefault" comment="Default value of Young's modulus for model test used instead of Epipe, when Epipe=0.">'c'!$G$83</definedName>
    <definedName name="EI" comment="Flexural stiffness of pipe">'c'!$G$30</definedName>
    <definedName name="EI_p" comment="Flexural rigidity for prototype pipe (MNm^2)">'c'!$G$209</definedName>
    <definedName name="EIadj" comment="Prototype Adjusted flexural rigidity  EIadj = [EI + N (λ/π)2]/(1 +  λ̃2  Ñ)   (MNm2)">'c'!$G$243</definedName>
    <definedName name="EIratio" comment="ratio adjusted / unadjusted flexural stiffness for prototype">'c'!$G$254</definedName>
    <definedName name="Epipe" comment="Young's modulus of pipe ?">'c'!$G$29</definedName>
    <definedName name="EpipeUsed" comment="Value of Young's modulus used">'c'!$G$92</definedName>
    <definedName name="eps_1" comment="Unit value for bending strain, ϵ1 = RϵD/Lst2">'c'!$G$112</definedName>
    <definedName name="eps_1p" comment="Prototype unit value of bending strain">'c'!$G$246</definedName>
    <definedName name="epsCF_e_ratio" comment="Ratio of CF fatigue equivalent strains from Test divided by that from SpanFat">'c'!$G$174</definedName>
    <definedName name="epsCF_e_ratio_a" comment="Ratio of CF fatigue equivalent strains from Test divided by that from SpanFat including arch action">'c'!$G$180</definedName>
    <definedName name="epsCF_e_tilde" comment="Normalized Fatigue-Equivalent Strain Amplitude, ϵ̃e , cross flow">'c'!$G$118</definedName>
    <definedName name="epsCF_e_tilde_nap" comment="Normalized fatigue equivalent cross flow bending strain for not adjusted prototype">'c'!$G$234</definedName>
    <definedName name="epsCF_e_tilde_sf" comment="CF normalized fatigue-equivalent strain amplitude from SpanFat">'c'!$G$172</definedName>
    <definedName name="epsCF_e_tilde_sfa" comment="CF normalized fatigue-equivalent strain amplitude from SpanFat including arch action">'c'!$G$178</definedName>
    <definedName name="epsCF_e_tilde_sfp" comment="Prototype CF normalized fatigue-equivalent strain amplitude from SpanFat">'c'!$G$260</definedName>
    <definedName name="epsCF_ep" comment="Prototype Cross flow fatigue-equivalent strain amplitude">'c'!$G$247</definedName>
    <definedName name="epsCF_max" comment="Maximum cross flow bending strain (max over x and t)">'c'!$G$49</definedName>
    <definedName name="epsCF_maxloc" comment="location x of epsCF_max">'c'!$G$50</definedName>
    <definedName name="epsCF_rms" comment="sqrt(2) times stdev of cross flow bending strain over t at location x where this is highest">'c'!$G$51</definedName>
    <definedName name="epsCF_rms_tilde" comment="Normalized bending strain amplitude,  ϵ̃ = w̃’’ = ϵ Lst2/(Rϵ D) = ϵ/ϵ1, cross flow">'c'!$G$113</definedName>
    <definedName name="epsCF_rmsloc" comment="location x of epsCF_rms">'c'!$G$52</definedName>
    <definedName name="epsFR" comment="Fatigue resistance strain (strain range at which failure occurs in one cycle)">'c'!$G$93</definedName>
    <definedName name="epsIL_e_ratio" comment="Ratio of IL fatigue equivalent strains from Test divided by that from SpanFat">'c'!$G$175</definedName>
    <definedName name="epsIL_e_ratio_a" comment="Ratio of IL fatigue equivalent strains from Test divided by that from SpanFat including arch action">'c'!$G$181</definedName>
    <definedName name="epsIL_e_tilde" comment="Normalized Fatigue-Equivalent Strain Amplitude, ϵ̃e , in line">'c'!$G$119</definedName>
    <definedName name="epsIL_e_tilde_nap" comment="Normalized fatigue equivalent in line bending strain for not adjusted prototype">'c'!$G$235</definedName>
    <definedName name="epsIL_e_tilde_sf" comment="CF normalized fatigue-equivalent strain amplitude from SpanFat">'c'!$G$173</definedName>
    <definedName name="epsIL_e_tilde_sfa" comment="CF normalized fatigue-equivalent strain amplitude from SpanFat including arch action">'c'!$G$179</definedName>
    <definedName name="epsIL_e_tilde_sfp" comment="Prototype CF normalized fatigue-equivalent strain amplitude from SpanFat">'c'!$G$261</definedName>
    <definedName name="epsIL_ep" comment="Prototpye In Line fatigue-equivalent strain amplitude">'c'!$G$248</definedName>
    <definedName name="epsIL_max" comment="Maximum in line bending strain (max over x and t)">'c'!$G$53</definedName>
    <definedName name="epsIL_maxloc" comment="location x of epsIL_max">'c'!$G$54</definedName>
    <definedName name="epsIL_rms" comment="sqrt(2) times stdev of in line bending strain over t at location x where this is highest">'c'!$G$55</definedName>
    <definedName name="epsIL_rms_tilde" comment="Normalized bending strain amplitude,  ϵ̃ = w̃’’ = ϵ Lst2/(Rϵ D) = ϵ/ϵ1, in-line">'c'!$G$114</definedName>
    <definedName name="epsIL_rmsloc" comment="location x of epsIL_rms">'c'!$G$56</definedName>
    <definedName name="epsRatioCF" comment="Ratio Fatigue-Equivalent / Dynamic Strain Amplitude, Cross Flow">'c'!$G$162</definedName>
    <definedName name="epsRatioIL" comment="Ratio Fatigue-Equivalent / Dynamic Strain Amplitude, In Line">'c'!$G$163</definedName>
    <definedName name="exc" comment="&quot;y&quot; to exclude case, &quot;n&quot; to include (see macro DelExclCase for use of this output)">'c'!$G$166</definedName>
    <definedName name="ExcDisp" comment="Maximum allowed displacement exceeded">'c'!$G$77</definedName>
    <definedName name="f1ss" comment="natural frequency of mode 1 including arch action (Hz)">'c'!$G$130</definedName>
    <definedName name="f1ss_0" comment="natural frequency of mode 1 without arch action (Hz)">'c'!$G$129</definedName>
    <definedName name="f1ss_f" comment="natural frequency of mode 1 including arch action with both ends axially fixed (Hz)">'c'!$G$131</definedName>
    <definedName name="FDR_1" comment="Unit value for fatigue damage rate, η̇1 = [(RϵD/Lst2) /ϵfr]n /Tst = [ϵ1/ϵfr]n/Tst">'c'!$G$115</definedName>
    <definedName name="FDR_1p" comment="Prototype Unit value of fatigue damage rate η̇1 = [ϵ1/ϵfr]n /Tst = [Eϵ1]n /(a Tst )  = [E RϵD/Lst2]n /(a Tst )">'c'!$G$251</definedName>
    <definedName name="FDR_CF" comment="Cross flow fatigue damage rate at the location of the largest standard deviation of the cross flow strain ?">'c'!$G$67</definedName>
    <definedName name="FDR_CF_nap" comment="Cross Flow Fatigue Damage rate for not adjusted prototype (1/s)">'c'!$G$236</definedName>
    <definedName name="FDR_CF_sfap" comment="Prototype CF fatigue damage rate from SpanFat (including arch action)  (1/s)">'c'!$G$269</definedName>
    <definedName name="FDR_CF_sfp" comment="Prototype CF fatigue damage rate from SpanFat (no arch action)  (1/s)">'c'!$G$262</definedName>
    <definedName name="FDR_CF_tilde" comment="Normalized fatigue damage rate, η̃̇ = η̇ / η̇1, cross flow">'c'!$G$116</definedName>
    <definedName name="FDR_CFp" comment="Prototype Cross Flow Fatigue Damage rate (1/s)">'c'!$G$249</definedName>
    <definedName name="FDR_IL" comment="in line fatigue damage rate at the location of the largest standard deviation of the in line strain ?">'c'!$G$68</definedName>
    <definedName name="FDR_IL_nap" comment="In Line Fatigue Damage rate for not adjusted prototype (1/s)">'c'!$G$237</definedName>
    <definedName name="FDR_IL_sfap" comment="Prototype IL fatigue damage rate from SpanFat (including arch action)  (1/s)">'c'!$G$270</definedName>
    <definedName name="FDR_IL_sfp" comment="Prototype IL fatigue damage rate from SpanFat (no arch action)  (1/s)">'c'!$G$263</definedName>
    <definedName name="FDR_IL_tilde" comment="Normalized fatigue damage rate, η̃̇ = η̇ / η̇1, in line">'c'!$G$117</definedName>
    <definedName name="FDR_ILp" comment="Prototype In Line Fatigue Damage rate (1/s)">'c'!$G$250</definedName>
    <definedName name="FfatCF_rmseps" comment="Effective frequency for fatigue damage based on cross flow strain at the location where its standard deviation is highest ?">'c'!$G$65</definedName>
    <definedName name="FfatIL_rmseps" comment="Effective frequency for fatigue damage based on in line strain at the location where its standard deviation is highest ?">'c'!$G$66</definedName>
    <definedName name="fjss" comment="natural frequency of mode jst with arch action (Hz)">'c'!$G$134</definedName>
    <definedName name="fjss_0" comment="natural frequency of mode jst without including arch action (Hz)">'c'!$G$133</definedName>
    <definedName name="fjss_f" comment="natural frequency of mode jst with arch action with both ends axially fixed (Hz)">'c'!$G$135</definedName>
    <definedName name="fnss_0" comment="natural frequency of mode ndamp without arch action during damping test (Hz)">'c'!$G$137</definedName>
    <definedName name="FpCF_rmseps" comment="Spectral peak frequency of cross flow strain at the location x where the standard deviation of this strain is largest">'c'!$G$63</definedName>
    <definedName name="FpIL_rmseps" comment="Spectral peak frequency of in line strain at the location x where the standard deviation of this strain is largest">'c'!$G$64</definedName>
    <definedName name="fpN" comment="Frequency at which the spectral density of the axial force is a maximum ?">'c'!$G$40</definedName>
    <definedName name="fs" comment="Sampling frequency">'c'!$G$22</definedName>
    <definedName name="fst_p" comment="Strouhal frequency (Hz)">'c'!$G$226</definedName>
    <definedName name="FzcCF_rmseps" comment="cross flow strain mean value upcrossing rate based on counting at the location where the standard deviation of this strain is largest">'c'!$G$59</definedName>
    <definedName name="FzcIL_rmseps" comment="in line strain mean value upcrossing rate based on counting at the location where the standard deviation of this strain is largest">'c'!$G$60</definedName>
    <definedName name="FzsCF_rmseps" comment="cross flow strain mean value upcrossing rate based on spectrum at the location where the standard deviation of this strain is largest">'c'!$G$61</definedName>
    <definedName name="FzsIL_rmseps" comment="in-line strain mean value upcrossing rate based on spectrum at the location where the standard deviation of this strain is largest">'c'!$G$62</definedName>
    <definedName name="g" comment="acceleration due to gravity">'c'!$G$80</definedName>
    <definedName name="gerr_p" comment="Prototype Compatibility check (m) ; should be zero">'c'!$G$227</definedName>
    <definedName name="h_1CF" comment="epsilonCF_e_tilde  fit 5 parameter 1">fit!$D$88</definedName>
    <definedName name="h_1IL" comment="epsilonIL_e_tilde  fit 5 parameter 1">fit!$D$99</definedName>
    <definedName name="h_2CF" comment="epsilonCF_e_tilde  fit 5 parameter 2">fit!$D$89</definedName>
    <definedName name="h_2IL" comment="epsilonIL_e_tilde  fit 5 parameter 2">fit!$D$100</definedName>
    <definedName name="h_3CF" comment="epsilonCF_e_tilde  fit 5 parameter 3">fit!$D$90</definedName>
    <definedName name="h_3IL" comment="epsilonIL_e_tilde  fit 5 parameter 3">fit!$D$101</definedName>
    <definedName name="h_4CF" comment="epsilonCF_e_tilde  fit 5 parameter 4">fit!$D$91</definedName>
    <definedName name="h_4IL" comment="epsilonIL_e_tilde  fit 5 parameter 4">fit!$D$102</definedName>
    <definedName name="h_5CF" comment="epsilonCF_e_tilde  fit 5 parameter 5">fit!$D$92</definedName>
    <definedName name="h_5IL" comment="epsilonIL_e_tilde  fit 5 parameter 5">fit!$D$103</definedName>
    <definedName name="idum" comment="Dummy variable, change to bring about re-evaluation of VB furnctions with implicit arguments.">Misc!$D$2</definedName>
    <definedName name="iexcl" comment="row number containing &quot;y&quot; where case is to be deleted">Misc!$D$13</definedName>
    <definedName name="ifirst" comment="row number of first cell to be deleted when applicable">Misc!$D$14</definedName>
    <definedName name="ifirst_2" comment="row number of first cell in 2nd set to be deleted when applicable">Misc!$D$16</definedName>
    <definedName name="ifirst_p" comment="row number of first cell to be deleted when applicable">Misc!$D$22</definedName>
    <definedName name="ilast" comment="row number of last cell to be deleted when applicable">Misc!$D$15</definedName>
    <definedName name="ilast_2" comment="row number of last cell in 2nd set to be deleted when applicable">Misc!$D$17</definedName>
    <definedName name="ilast_p" comment="row number of last cell to be deleted when applicable">Misc!$D$23</definedName>
    <definedName name="iN_p" comment="number of row in sheet &quot;m&quot; containing N_p values">Misc!$D$24</definedName>
    <definedName name="ipf" comment="ingored points factor, sampling frequency for used points is  fs/ipf   ?">'c'!$G$23</definedName>
    <definedName name="jfirst" comment="first column on sheet m to be scanned (i.e. pertaining to first test to be scanned)">Misc!$D$19</definedName>
    <definedName name="jlast" comment="last column on sheet m to be scanned (i.e. pertaining to last test to be scanned)">Misc!$D$20</definedName>
    <definedName name="jst" comment="odd mode number with half wavelength closest to Strouhal length">'c'!$G$132</definedName>
    <definedName name="ka" comment="Distributed Axial Soil Spring Stiffness (MPa)">'c'!$G$195</definedName>
    <definedName name="kratio" comment="adjusted / original stiffness ratio at half the dominant wavelength for prototype">'c'!$G$255</definedName>
    <definedName name="krough" comment="Roughness">'c'!$G$74</definedName>
    <definedName name="kx_p" comment="Stiffness of equivalent axial spring at one end of the pipe (results in the same Lea)  (MN/m)">'c'!$G$212</definedName>
    <definedName name="kxend" comment="Stiffness of axial spring at one end of the model">'c'!$G$73</definedName>
    <definedName name="L_tilde_nap" comment="Prototype normalized span length">'c'!$G$232</definedName>
    <definedName name="lambda_p" comment="Dominant half wavelength for prototype span (m)">'c'!$G$241</definedName>
    <definedName name="lambdaCF" comment="dominant cross flow half wavelength from spectrum of the displacements at the time when the maximum  cross flow displacement occurs">'c'!$G$57</definedName>
    <definedName name="lambdaCF_tilde" comment="CF normalized dominant half wavelength">'c'!$G$103</definedName>
    <definedName name="lambdaCFused" comment="value of lambdaCF used, calculated from number of lobes is not estimated otherwise">'c'!$G$100</definedName>
    <definedName name="lambdaIL" comment="dominant in line half wavelength from spectrum of the displacements at the time when the maximum  in line displacement occurs">'c'!$G$58</definedName>
    <definedName name="lambdaIL_tilde" comment="IL normalized dominant half wavelength">'c'!$G$104</definedName>
    <definedName name="lambdaILused" comment="value of lambdaIL used, calculated from number of lobes is not estimated otherwise">'c'!$G$101</definedName>
    <definedName name="lambdaUsed" comment="half wavelength used in scaling for axial force effect">'c'!$G$102</definedName>
    <definedName name="lambdaUsed_tilde" comment="normalized half wavelength used to calculated adjusted values of EI and N for the prototype">'c'!$G$105</definedName>
    <definedName name="Lea" comment="Effective length for axial stiffness">'c'!$G$149</definedName>
    <definedName name="Lea_o_L" comment="Factor by which axial flexibility is increased due to end spring">'c'!$G$165</definedName>
    <definedName name="Lea_p" comment="Effective axial stiffness length for prototype pipe (m)">'c'!$G$211</definedName>
    <definedName name="LoD" comment="Length/Diameter ratio">'c'!$G$164</definedName>
    <definedName name="Lspan" comment="Length of span">'c'!$G$25</definedName>
    <definedName name="Lspan_p" comment="prototype Span length (m)">'c'!$G$184</definedName>
    <definedName name="Lspan_tilde" comment="Normalized Span Length, L̃ = L/Lst">'c'!$G$109</definedName>
    <definedName name="Lst" comment="Unit length, Strouhal length,   x1 = Lst = π (2EI)1/2/{[N2 + 16π2 EI meff/Tst2]1/2 - N}1/2">'c'!$G$108</definedName>
    <definedName name="Lst_nap" comment="Prototype Strouhal length (m)">'c'!$G$231</definedName>
    <definedName name="Lst_p" comment="Strouhal length for prototype pipe (m)">'c'!$G$242</definedName>
    <definedName name="Lu" comment="Unstraked length">'c'!$G$26</definedName>
    <definedName name="m_air" comment="Mass per unit length of pipe">'c'!$G$33</definedName>
    <definedName name="m_clump" comment="Clump mass at ends of model (kg)">'c'!$G$78</definedName>
    <definedName name="m_damp" comment="effective mass during damping test (kg/m)">'c'!$G$136</definedName>
    <definedName name="m_sub" comment="m_sub g = submerged weight of pipe">'c'!$G$34</definedName>
    <definedName name="mdw" comment="Mass per unit length of displaced water">'c'!$G$94</definedName>
    <definedName name="mdw_p" comment="mass of displaced water for prototype pipe (kg/m)">'c'!$G$206</definedName>
    <definedName name="meff" comment="Effective mass per unit length">'c'!$G$95</definedName>
    <definedName name="meff_p" comment="effective mass for prototype pipe (Gg/m)">'c'!$G$208</definedName>
    <definedName name="mratio" comment="mass of pipe / mass of water it displaces">'c'!$G$35</definedName>
    <definedName name="mratio_p" comment="mass ratio for prototype pipe">'c'!$G$207</definedName>
    <definedName name="N_1" comment="Unit value for effective Axial force, N1 = π2EI/Lst2">'c'!$G$110</definedName>
    <definedName name="N_g" comment="Axial force at zero current velocity">'c'!$G$37</definedName>
    <definedName name="N_p" comment="Axial force in prototype pipe under flowing conditions (MN)">'c'!$G$217</definedName>
    <definedName name="N_pmax" comment="Maximum prototype axial force under flowing conditions (MN)">'c'!$G$199</definedName>
    <definedName name="N_pmin" comment="Minimum prototype axial force under flowing conditions (MN)">'c'!$G$198</definedName>
    <definedName name="N_tilde_nap" comment="Prototype normalized axial force when N is not adjusted (MN)">'c'!$G$233</definedName>
    <definedName name="N0_p" comment="Axial force in straight prototype pipe (without gravity loads) (MN)">'c'!$G$215</definedName>
    <definedName name="Nadj" comment="Prototype Adjusted axial force.  C.f. unadjusted value is 4.167  (MN)">'c'!$G$244</definedName>
    <definedName name="Navg" comment="Axial force during test averaged over time">'c'!$G$38</definedName>
    <definedName name="Navg_tilde" comment="Normalized effective axial force,  Ñ = N/N1">'c'!$G$111</definedName>
    <definedName name="ndamp" comment="Mode number to define flexural stiffness proportional damping coefficient Ck &amp; for damping test">'c'!$G$85</definedName>
    <definedName name="Nfail_CF" comment="number of cycles to failure for cross flow at a strain range of 2 sqrt(2) times the standard deviation at the location where this is smallest ?">'c'!$G$69</definedName>
    <definedName name="Nfail_IL" comment="number of cycles to failure for in line at a strain range of 2 sqrt(2) times the standard deviation at the location where this is smallest ?">'c'!$G$70</definedName>
    <definedName name="nfat" comment="Fatigue exponent “n” in N=a/Sn, where N denotes number of cycles to failure S the stress range">'c'!$G$81</definedName>
    <definedName name="Ng_p" comment="Effective axial force under gravity loads alone (MN)">'c'!$G$196</definedName>
    <definedName name="nlCF" comment="number of lobes for the dominant cross flow mode ?">'c'!$G$71</definedName>
    <definedName name="nlIL" comment="number of lobes for the dominant in line mode ?">'c'!$G$72</definedName>
    <definedName name="NMIL" comment="Number of IL modes to be considered in SpanFat analysis">'c'!$G$169</definedName>
    <definedName name="NMIV" comment="Number of CF modes to be considered in SpanFat analysis">'c'!$G$168</definedName>
    <definedName name="nsrch" comment="Number of points to be used searching for a solution for N_p in the range N_pmin to N_pmax">'c'!$G$200</definedName>
    <definedName name="Nstd" comment="Standard deviation of axial force during test">'c'!$G$39</definedName>
    <definedName name="nstr" comment="Axial force when fully straight (N)">'c'!$G$124</definedName>
    <definedName name="nu" comment="Kinematic viscosity of water">'c'!$G$24</definedName>
    <definedName name="pctGap" comment="100 times Length of unstraked segment centred at midspan divided by span length">'c'!$G$17</definedName>
    <definedName name="psi_ai1" comment="Strouhal/Axial Frequency Ratio, ψai1 = 4 L fst (mpw/EA)1/2">'c'!$G$159</definedName>
    <definedName name="psi_ai2" comment="Relative axial force error due to axial inertia for inextensible pipe axially fixed at one end, ψai2 = (π4/4) L̃2 (D/Lst)2.">'c'!$G$160</definedName>
    <definedName name="psi_arch_st" comment="relative increase natural frequency of mode jst due to arch action">'c'!$G$152</definedName>
    <definedName name="psi_arch_st_f" comment="relative increase natural frequency of mode jst due to arch action with both ends axially fixed">'c'!$G$154</definedName>
    <definedName name="psi_arch1" comment="relative increase natural frequency of mode 1 due to arch action">'c'!$G$151</definedName>
    <definedName name="psi_arch1_f" comment="relative increase natural frequency of mode 1 due to arch action with both ends axially fixed">'c'!$G$153</definedName>
    <definedName name="psi_clump" comment="Strouhal/Axial Clump frequency ratio  ψclump = 2π fst(Lmclump/(2EA))1/2">'c'!$G$161</definedName>
    <definedName name="psi_local" comment="D/Lst ratio, should be small for assumption 2 and others.">'c'!$G$150</definedName>
    <definedName name="psi_n" comment="sqrt(2) stdev(N) / average(N)">'c'!$G$156</definedName>
    <definedName name="psi_nl" comment="Nonlinearity Check (approx 6) should be small compared to 1,  ψnonlinear = { D2 L EA}/{4 Lea EI (1 + Ñ)  }">'c'!$G$157</definedName>
    <definedName name="psi_nl_f" comment="Value of nonlinearity indicator psi_nl assuming both ends are axially fixed">'c'!$G$158</definedName>
    <definedName name="qc" comment="combined gravity and hydrodynamic drag force per unit length (N/m)">'c'!$G$128</definedName>
    <definedName name="qc_p" comment="Combined gravity &amp; drag force on prototype pipe (MN/m)">'c'!$G$218</definedName>
    <definedName name="qd_p" comment="Drag force on prototype pipe (MN/m)">'c'!$G$219</definedName>
    <definedName name="qh_1" comment="Drag force for drag coefficient Cd=1   (N/m)">'c'!$G$121</definedName>
    <definedName name="qw" comment="Gravity force normal to pipe, i.e. submerged weight when pipe is horizontal (N/m)">'c'!$G$122</definedName>
    <definedName name="qw_p" comment="Submerged weight of prototype pipe (MN/m)">'c'!$G$205</definedName>
    <definedName name="Reps" comment="Radius from pipe centroid at which bending strain is determined,  Rϵ ">'c'!$G$106</definedName>
    <definedName name="Reyn" comment="Reynolds Number">'c'!$G$120</definedName>
    <definedName name="rhocc" comment="density of corrosion coating (kg/m^3)">'c'!$G$191</definedName>
    <definedName name="rhoi" comment="density of pipe contents (kg/m^3)">'c'!$G$189</definedName>
    <definedName name="rhos" comment="density of pipe steel (kg/m^3)">'c'!$G$190</definedName>
    <definedName name="rhosw" comment="density of sea water (kg/m^3)">'c'!$G$193</definedName>
    <definedName name="rhowc" comment="density of weight coating (kg/m^3)">'c'!$G$192</definedName>
    <definedName name="ro_w" comment="Density of water">'c'!$G$31</definedName>
    <definedName name="rotCF" comment="reference CF dynamic rotation (radians)">'c'!$G$144</definedName>
    <definedName name="rotRatio" comment="dynamic / static rotation ratio">'c'!$G$145</definedName>
    <definedName name="rotStatic" comment="rotation at ends in the plane in which the pipe hangs under static+constant drag load (radians)">'c'!$G$143</definedName>
    <definedName name="rotStatic_p" comment="prototype combined rotation at ends under flowing conditions (radians)">'c'!$G$223</definedName>
    <definedName name="rsf" comment="&quot;y&quot; to run SpanFat for each case when gSensiR runs.  That takes a long time and requires files SpanFat.exe.  To not update the SpanFat results on sheet &quot;m&quot; insert at least one blank line above the green numbers on sheet m with the SpanFat results.  Otherw">'c'!$G$90</definedName>
    <definedName name="solver_adj" localSheetId="2" hidden="1">'c'!$G$217</definedName>
    <definedName name="solver_adj" localSheetId="12" hidden="1">fit!$D$99:$D$103</definedName>
    <definedName name="solver_cvg" localSheetId="2" hidden="1">0.0001</definedName>
    <definedName name="solver_cvg" localSheetId="12" hidden="1">0.0001</definedName>
    <definedName name="solver_drv" localSheetId="2" hidden="1">1</definedName>
    <definedName name="solver_drv" localSheetId="12" hidden="1">1</definedName>
    <definedName name="solver_eng" localSheetId="2" hidden="1">1</definedName>
    <definedName name="solver_eng" localSheetId="12" hidden="1">1</definedName>
    <definedName name="solver_est" localSheetId="2" hidden="1">1</definedName>
    <definedName name="solver_est" localSheetId="12" hidden="1">1</definedName>
    <definedName name="solver_itr" localSheetId="2" hidden="1">2147483647</definedName>
    <definedName name="solver_itr" localSheetId="12" hidden="1">2147483647</definedName>
    <definedName name="solver_lhs1" localSheetId="2" hidden="1">'c'!$G$217</definedName>
    <definedName name="solver_lhs1" localSheetId="12" hidden="1">fit!$D$99</definedName>
    <definedName name="solver_mip" localSheetId="2" hidden="1">2147483647</definedName>
    <definedName name="solver_mip" localSheetId="12" hidden="1">2147483647</definedName>
    <definedName name="solver_mni" localSheetId="2" hidden="1">30</definedName>
    <definedName name="solver_mni" localSheetId="12" hidden="1">30</definedName>
    <definedName name="solver_mrt" localSheetId="2" hidden="1">0.075</definedName>
    <definedName name="solver_mrt" localSheetId="12" hidden="1">0.075</definedName>
    <definedName name="solver_msl" localSheetId="2" hidden="1">2</definedName>
    <definedName name="solver_msl" localSheetId="12" hidden="1">2</definedName>
    <definedName name="solver_neg" localSheetId="2" hidden="1">1</definedName>
    <definedName name="solver_neg" localSheetId="12" hidden="1">2</definedName>
    <definedName name="solver_nod" localSheetId="2" hidden="1">2147483647</definedName>
    <definedName name="solver_nod" localSheetId="12" hidden="1">2147483647</definedName>
    <definedName name="solver_num" localSheetId="2" hidden="1">1</definedName>
    <definedName name="solver_num" localSheetId="12" hidden="1">1</definedName>
    <definedName name="solver_nwt" localSheetId="2" hidden="1">1</definedName>
    <definedName name="solver_nwt" localSheetId="12" hidden="1">1</definedName>
    <definedName name="solver_opt" localSheetId="2" hidden="1">'c'!$G$245</definedName>
    <definedName name="solver_opt" localSheetId="12" hidden="1">fit!$D$105</definedName>
    <definedName name="solver_pre" localSheetId="2" hidden="1">0.000001</definedName>
    <definedName name="solver_pre" localSheetId="12" hidden="1">0.00000001</definedName>
    <definedName name="solver_rbv" localSheetId="2" hidden="1">1</definedName>
    <definedName name="solver_rbv" localSheetId="12" hidden="1">1</definedName>
    <definedName name="solver_rel1" localSheetId="2" hidden="1">3</definedName>
    <definedName name="solver_rel1" localSheetId="12" hidden="1">3</definedName>
    <definedName name="solver_rhs1" localSheetId="2" hidden="1">Ng_p</definedName>
    <definedName name="solver_rhs1" localSheetId="12" hidden="1">0</definedName>
    <definedName name="solver_rlx" localSheetId="2" hidden="1">2</definedName>
    <definedName name="solver_rlx" localSheetId="12" hidden="1">2</definedName>
    <definedName name="solver_rsd" localSheetId="2" hidden="1">0</definedName>
    <definedName name="solver_rsd" localSheetId="12" hidden="1">0</definedName>
    <definedName name="solver_scl" localSheetId="2" hidden="1">1</definedName>
    <definedName name="solver_scl" localSheetId="12" hidden="1">1</definedName>
    <definedName name="solver_sho" localSheetId="2" hidden="1">2</definedName>
    <definedName name="solver_sho" localSheetId="12" hidden="1">2</definedName>
    <definedName name="solver_ssz" localSheetId="2" hidden="1">100</definedName>
    <definedName name="solver_ssz" localSheetId="12" hidden="1">100</definedName>
    <definedName name="solver_tim" localSheetId="2" hidden="1">2147483647</definedName>
    <definedName name="solver_tim" localSheetId="12" hidden="1">2147483647</definedName>
    <definedName name="solver_tol" localSheetId="2" hidden="1">0.01</definedName>
    <definedName name="solver_tol" localSheetId="12" hidden="1">0.01</definedName>
    <definedName name="solver_typ" localSheetId="2" hidden="1">3</definedName>
    <definedName name="solver_typ" localSheetId="12" hidden="1">2</definedName>
    <definedName name="solver_val" localSheetId="2" hidden="1">0</definedName>
    <definedName name="solver_val" localSheetId="12" hidden="1">0</definedName>
    <definedName name="solver_ver" localSheetId="2" hidden="1">3</definedName>
    <definedName name="solver_ver" localSheetId="12" hidden="1">3</definedName>
    <definedName name="St" comment="Arbitrary scaling parameter, may be taken as Strouhal number, St">'c'!$G$84</definedName>
    <definedName name="startdatum" comment="Data point number at start of processed segment">'c'!$G$20</definedName>
    <definedName name="starttime" comment="Time when processed data segment starts">'c'!$G$18</definedName>
    <definedName name="stdU" comment="Standard deviation of current velocity">'c'!$G$28</definedName>
    <definedName name="stopdatum" comment="Data point number at end of processed segment.">'c'!$G$21</definedName>
    <definedName name="stoptime" comment="Time when processed data segment end">'c'!$G$19</definedName>
    <definedName name="SubDamp" comment="True if damping test performed with pipe submerged.">'c'!$G$87</definedName>
    <definedName name="tcc" comment="thickness of corrosion coating (m)">'c'!$G$187</definedName>
    <definedName name="TestID" comment="Test  ID ">'c'!$G$16</definedName>
    <definedName name="TestSeries" comment="name of test series (OL = Ormenl Lange, EM = ExxonMobil Rotating Rig,  Shell = Shell sponsored tests)">'c'!$G$15</definedName>
    <definedName name="th1_gsensic">'c'!$D$276</definedName>
    <definedName name="th1_gsensir" comment="table head to select before running gsensir">m!$AE$3</definedName>
    <definedName name="theta" comment="Inclination angle from vertical at which it hangs under the current (degrees)">'c'!$G$126</definedName>
    <definedName name="ts" comment="wall thickness of steel pipe (m)">'c'!$G$186</definedName>
    <definedName name="Tst" comment="Strouhal Period, Tst = D/(StU)">'c'!$G$107</definedName>
    <definedName name="Tst_p" comment="Strouhal period for prototype pipe (s)">'c'!$G$225</definedName>
    <definedName name="twc" comment="thickness of weight or insulation coating (m)">'c'!$G$188</definedName>
    <definedName name="Uc" comment="Current speed">'c'!$G$27</definedName>
    <definedName name="Uc_p" comment="Current velocity for prototype pipe (m/s)">'c'!$G$224</definedName>
    <definedName name="wc_p" comment="prototype Midspan combined Deflection under flowing conditions (m)">'c'!$G$220</definedName>
    <definedName name="wd_p" comment="prototype Midspan horizontal Deflection under flowing conditions (m)">'c'!$G$221</definedName>
    <definedName name="wg_p" comment="prototype Midspan Deflection under gravity loads (m)">'c'!$G$216</definedName>
    <definedName name="wz_p" comment="prototype Midspan vertical Deflection under flowing conditions (m)">'c'!$G$222</definedName>
    <definedName name="xik" comment="Flexural material damping ratio at natural frequency of damping test">'c'!$G$141</definedName>
    <definedName name="zchk_comb" comment="Combined consistency check for input data (should be zero)">'c'!$G$167</definedName>
    <definedName name="zchk_FDR_CF" comment="zero check on FDR_CF">'c'!$G$97</definedName>
    <definedName name="zchk_FDR_IL" comment="zero check on FDR_IL">'c'!$G$98</definedName>
    <definedName name="zchk_k" comment="zero check for effective stiffness at dominant wavelength">'c'!$G$253</definedName>
    <definedName name="zchk_Lst" comment="Prototype zero check on Strouhal length">'c'!$G$252</definedName>
    <definedName name="zchk_mratio" comment="Zero check on calculation of mass ratio">'c'!$G$96</definedName>
    <definedName name="zchk_qc" comment="Prototype zero check on combined force qc">'c'!$G$228</definedName>
    <definedName name="zchk_qd" comment="Prototype zero check on drag force qd">'c'!$G$229</definedName>
    <definedName name="zchkCFeps_sf" comment="Logarithmic model-prototype difference in normalized CF strain">'c'!$G$264</definedName>
    <definedName name="zchkILeps_sf" comment="Logarithmic model-prototype difference in normalized CF strain">'c'!$G$265</definedName>
    <definedName name="zchkSt" comment="Prototype Strouhal frequency zero check (radians/s)^2, adjust N_p to make this zero, e.g. with macro s4N_p.">'c'!$G$245</definedName>
    <definedName name="zeta_h" comment="Hydrodynamic  damping ratio for damping test (assuming in still water),  c/(4 π fn m)">'c'!$G$139</definedName>
    <definedName name="zeta_ndamp" comment="Flexural stiffness proportional Damping ratio damping test on mode number ndamp">'c'!$G$86</definedName>
  </definedNames>
  <calcPr calcId="191029" iterateDelta="1E-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32" i="5" l="1"/>
  <c r="EL188" i="4" l="1" a="1"/>
  <c r="EL188" i="4" s="1"/>
  <c r="EK188" i="4" a="1"/>
  <c r="EK188" i="4" s="1"/>
  <c r="EJ188" i="4" a="1"/>
  <c r="EJ188" i="4" s="1"/>
  <c r="EI188" i="4" a="1"/>
  <c r="EI188" i="4" s="1"/>
  <c r="EH188" i="4" a="1"/>
  <c r="EH188" i="4" s="1"/>
  <c r="EG188" i="4" a="1"/>
  <c r="EG188" i="4" s="1"/>
  <c r="EF188" i="4" a="1"/>
  <c r="EF188" i="4" s="1"/>
  <c r="EE188" i="4" a="1"/>
  <c r="EE188" i="4" s="1"/>
  <c r="ED188" i="4" a="1"/>
  <c r="ED188" i="4" s="1"/>
  <c r="EC188" i="4" a="1"/>
  <c r="EC188" i="4" s="1"/>
  <c r="DX188" i="4" a="1"/>
  <c r="DX188" i="4" s="1"/>
  <c r="DW188" i="4" a="1"/>
  <c r="DW188" i="4" s="1"/>
  <c r="DU188" i="4" a="1"/>
  <c r="DU188" i="4" s="1"/>
  <c r="DT188" i="4" a="1"/>
  <c r="DT188" i="4" s="1"/>
  <c r="DS188" i="4" a="1"/>
  <c r="DS188" i="4" s="1"/>
  <c r="DR188" i="4" a="1"/>
  <c r="DR188" i="4" s="1"/>
  <c r="DP188" i="4" a="1"/>
  <c r="DP188" i="4" s="1"/>
  <c r="DL188" i="4" a="1"/>
  <c r="DL188" i="4" s="1"/>
  <c r="DK188" i="4" a="1"/>
  <c r="DK188" i="4" s="1"/>
  <c r="DJ188" i="4" a="1"/>
  <c r="DJ188" i="4" s="1"/>
  <c r="DI188" i="4" a="1"/>
  <c r="DI188" i="4" s="1"/>
  <c r="DH188" i="4" a="1"/>
  <c r="DH188" i="4" s="1"/>
  <c r="DG188" i="4" a="1"/>
  <c r="DG188" i="4" s="1"/>
  <c r="DF188" i="4" a="1"/>
  <c r="DF188" i="4" s="1"/>
  <c r="DE188" i="4" a="1"/>
  <c r="DE188" i="4" s="1"/>
  <c r="DD188" i="4" a="1"/>
  <c r="DD188" i="4" s="1"/>
  <c r="DC188" i="4" a="1"/>
  <c r="DC188" i="4" s="1"/>
  <c r="DB188" i="4" a="1"/>
  <c r="DB188" i="4" s="1"/>
  <c r="DA188" i="4" a="1"/>
  <c r="DA188" i="4" s="1"/>
  <c r="CZ188" i="4" a="1"/>
  <c r="CZ188" i="4" s="1"/>
  <c r="CY188" i="4" a="1"/>
  <c r="CY188" i="4" s="1"/>
  <c r="CX188" i="4" a="1"/>
  <c r="CX188" i="4" s="1"/>
  <c r="CW188" i="4" a="1"/>
  <c r="CW188" i="4" s="1"/>
  <c r="CV188" i="4" a="1"/>
  <c r="CV188" i="4" s="1"/>
  <c r="CU188" i="4" a="1"/>
  <c r="CU188" i="4" s="1"/>
  <c r="CT188" i="4" a="1"/>
  <c r="CT188" i="4" s="1"/>
  <c r="CS188" i="4" a="1"/>
  <c r="CS188" i="4" s="1"/>
  <c r="CR188" i="4" a="1"/>
  <c r="CR188" i="4" s="1"/>
  <c r="CQ188" i="4" a="1"/>
  <c r="CQ188" i="4" s="1"/>
  <c r="CP188" i="4" a="1"/>
  <c r="CP188" i="4" s="1"/>
  <c r="CO188" i="4" a="1"/>
  <c r="CO188" i="4" s="1"/>
  <c r="CN188" i="4" a="1"/>
  <c r="CN188" i="4" s="1"/>
  <c r="CM188" i="4" a="1"/>
  <c r="CM188" i="4" s="1"/>
  <c r="CL188" i="4" a="1"/>
  <c r="CL188" i="4" s="1"/>
  <c r="CK188" i="4" a="1"/>
  <c r="CK188" i="4" s="1"/>
  <c r="CJ188" i="4" a="1"/>
  <c r="CJ188" i="4" s="1"/>
  <c r="CI188" i="4" a="1"/>
  <c r="CI188" i="4" s="1"/>
  <c r="CH188" i="4" a="1"/>
  <c r="CH188" i="4" s="1"/>
  <c r="CG188" i="4" a="1"/>
  <c r="CG188" i="4" s="1"/>
  <c r="CF188" i="4" a="1"/>
  <c r="CF188" i="4" s="1"/>
  <c r="CE188" i="4" a="1"/>
  <c r="CE188" i="4" s="1"/>
  <c r="CD188" i="4" a="1"/>
  <c r="CD188" i="4" s="1"/>
  <c r="CC188" i="4" a="1"/>
  <c r="CC188" i="4" s="1"/>
  <c r="CB188" i="4" a="1"/>
  <c r="CB188" i="4" s="1"/>
  <c r="CA188" i="4" a="1"/>
  <c r="CA188" i="4" s="1"/>
  <c r="BZ188" i="4" a="1"/>
  <c r="BZ188" i="4" s="1"/>
  <c r="BY188" i="4" a="1"/>
  <c r="BY188" i="4" s="1"/>
  <c r="BX188" i="4" a="1"/>
  <c r="BX188" i="4" s="1"/>
  <c r="BW188" i="4" a="1"/>
  <c r="BW188" i="4" s="1"/>
  <c r="BV188" i="4" a="1"/>
  <c r="BV188" i="4" s="1"/>
  <c r="BU188" i="4" a="1"/>
  <c r="BU188" i="4" s="1"/>
  <c r="BT188" i="4" a="1"/>
  <c r="BT188" i="4" s="1"/>
  <c r="BS188" i="4" a="1"/>
  <c r="BS188" i="4" s="1"/>
  <c r="BR188" i="4" a="1"/>
  <c r="BR188" i="4" s="1"/>
  <c r="BQ188" i="4" a="1"/>
  <c r="BQ188" i="4" s="1"/>
  <c r="BP188" i="4" a="1"/>
  <c r="BP188" i="4" s="1"/>
  <c r="BO188" i="4" a="1"/>
  <c r="BO188" i="4" s="1"/>
  <c r="BN188" i="4" a="1"/>
  <c r="BN188" i="4" s="1"/>
  <c r="BM188" i="4" a="1"/>
  <c r="BM188" i="4" s="1"/>
  <c r="BL188" i="4" a="1"/>
  <c r="BL188" i="4" s="1"/>
  <c r="BH188" i="4" a="1"/>
  <c r="BH188" i="4" s="1"/>
  <c r="BG188" i="4" a="1"/>
  <c r="BG188" i="4" s="1"/>
  <c r="BF188" i="4" a="1"/>
  <c r="BF188" i="4" s="1"/>
  <c r="BE188" i="4" a="1"/>
  <c r="BE188" i="4" s="1"/>
  <c r="BD188" i="4" a="1"/>
  <c r="BD188" i="4" s="1"/>
  <c r="BC188" i="4" a="1"/>
  <c r="BC188" i="4" s="1"/>
  <c r="BB188" i="4" a="1"/>
  <c r="BB188" i="4" s="1"/>
  <c r="BA188" i="4" a="1"/>
  <c r="BA188" i="4" s="1"/>
  <c r="AZ188" i="4" a="1"/>
  <c r="AZ188" i="4" s="1"/>
  <c r="AY188" i="4" a="1"/>
  <c r="AY188" i="4" s="1"/>
  <c r="AX188" i="4" a="1"/>
  <c r="AX188" i="4" s="1"/>
  <c r="AW188" i="4" a="1"/>
  <c r="AW188" i="4" s="1"/>
  <c r="AV188" i="4" a="1"/>
  <c r="AV188" i="4" s="1"/>
  <c r="AU188" i="4" a="1"/>
  <c r="AU188" i="4" s="1"/>
  <c r="AK188" i="4" a="1"/>
  <c r="AK188" i="4" s="1"/>
  <c r="AJ188" i="4" a="1"/>
  <c r="AJ188" i="4" s="1"/>
  <c r="AI188" i="4" a="1"/>
  <c r="AI188" i="4" s="1"/>
  <c r="AH188" i="4" a="1"/>
  <c r="AH188" i="4" s="1"/>
  <c r="AG188" i="4" a="1"/>
  <c r="AG188" i="4" s="1"/>
  <c r="EL187" i="4" a="1"/>
  <c r="EL187" i="4" s="1"/>
  <c r="EK187" i="4" a="1"/>
  <c r="EK187" i="4" s="1"/>
  <c r="EJ187" i="4" a="1"/>
  <c r="EJ187" i="4" s="1"/>
  <c r="EI187" i="4" a="1"/>
  <c r="EI187" i="4" s="1"/>
  <c r="EH187" i="4" a="1"/>
  <c r="EH187" i="4" s="1"/>
  <c r="EG187" i="4" a="1"/>
  <c r="EG187" i="4" s="1"/>
  <c r="EF187" i="4" a="1"/>
  <c r="EF187" i="4" s="1"/>
  <c r="EE187" i="4" a="1"/>
  <c r="EE187" i="4" s="1"/>
  <c r="ED187" i="4" a="1"/>
  <c r="ED187" i="4" s="1"/>
  <c r="EC187" i="4" a="1"/>
  <c r="EC187" i="4" s="1"/>
  <c r="DX187" i="4" a="1"/>
  <c r="DX187" i="4" s="1"/>
  <c r="DW187" i="4" a="1"/>
  <c r="DW187" i="4" s="1"/>
  <c r="DU187" i="4" a="1"/>
  <c r="DU187" i="4" s="1"/>
  <c r="DT187" i="4" a="1"/>
  <c r="DT187" i="4" s="1"/>
  <c r="DS187" i="4" a="1"/>
  <c r="DS187" i="4" s="1"/>
  <c r="DR187" i="4" a="1"/>
  <c r="DR187" i="4" s="1"/>
  <c r="DP187" i="4" a="1"/>
  <c r="DP187" i="4" s="1"/>
  <c r="DL187" i="4" a="1"/>
  <c r="DL187" i="4" s="1"/>
  <c r="DK187" i="4" a="1"/>
  <c r="DK187" i="4" s="1"/>
  <c r="DJ187" i="4" a="1"/>
  <c r="DJ187" i="4" s="1"/>
  <c r="DI187" i="4" a="1"/>
  <c r="DI187" i="4" s="1"/>
  <c r="DH187" i="4" a="1"/>
  <c r="DH187" i="4" s="1"/>
  <c r="DG187" i="4" a="1"/>
  <c r="DG187" i="4" s="1"/>
  <c r="DF187" i="4" a="1"/>
  <c r="DF187" i="4" s="1"/>
  <c r="DE187" i="4" a="1"/>
  <c r="DE187" i="4" s="1"/>
  <c r="DD187" i="4" a="1"/>
  <c r="DD187" i="4" s="1"/>
  <c r="DC187" i="4" a="1"/>
  <c r="DC187" i="4" s="1"/>
  <c r="DB187" i="4" a="1"/>
  <c r="DB187" i="4" s="1"/>
  <c r="DA187" i="4" a="1"/>
  <c r="DA187" i="4" s="1"/>
  <c r="CZ187" i="4" a="1"/>
  <c r="CZ187" i="4" s="1"/>
  <c r="CY187" i="4" a="1"/>
  <c r="CY187" i="4" s="1"/>
  <c r="CX187" i="4" a="1"/>
  <c r="CX187" i="4" s="1"/>
  <c r="CW187" i="4" a="1"/>
  <c r="CW187" i="4" s="1"/>
  <c r="CV187" i="4" a="1"/>
  <c r="CV187" i="4" s="1"/>
  <c r="CU187" i="4" a="1"/>
  <c r="CU187" i="4" s="1"/>
  <c r="CT187" i="4" a="1"/>
  <c r="CT187" i="4" s="1"/>
  <c r="CS187" i="4" a="1"/>
  <c r="CS187" i="4" s="1"/>
  <c r="CR187" i="4" a="1"/>
  <c r="CR187" i="4" s="1"/>
  <c r="CQ187" i="4" a="1"/>
  <c r="CQ187" i="4" s="1"/>
  <c r="CP187" i="4" a="1"/>
  <c r="CP187" i="4" s="1"/>
  <c r="CO187" i="4" a="1"/>
  <c r="CO187" i="4" s="1"/>
  <c r="CN187" i="4" a="1"/>
  <c r="CN187" i="4" s="1"/>
  <c r="CM187" i="4" a="1"/>
  <c r="CM187" i="4" s="1"/>
  <c r="CL187" i="4" a="1"/>
  <c r="CL187" i="4" s="1"/>
  <c r="CK187" i="4" a="1"/>
  <c r="CK187" i="4" s="1"/>
  <c r="CJ187" i="4" a="1"/>
  <c r="CJ187" i="4" s="1"/>
  <c r="CI187" i="4" a="1"/>
  <c r="CI187" i="4" s="1"/>
  <c r="CH187" i="4" a="1"/>
  <c r="CH187" i="4" s="1"/>
  <c r="CG187" i="4" a="1"/>
  <c r="CG187" i="4" s="1"/>
  <c r="CF187" i="4" a="1"/>
  <c r="CF187" i="4" s="1"/>
  <c r="CE187" i="4" a="1"/>
  <c r="CE187" i="4" s="1"/>
  <c r="CD187" i="4" a="1"/>
  <c r="CD187" i="4" s="1"/>
  <c r="CC187" i="4" a="1"/>
  <c r="CC187" i="4" s="1"/>
  <c r="CB187" i="4" a="1"/>
  <c r="CB187" i="4" s="1"/>
  <c r="CA187" i="4" a="1"/>
  <c r="CA187" i="4" s="1"/>
  <c r="BZ187" i="4" a="1"/>
  <c r="BZ187" i="4" s="1"/>
  <c r="BY187" i="4" a="1"/>
  <c r="BY187" i="4" s="1"/>
  <c r="BX187" i="4" a="1"/>
  <c r="BX187" i="4" s="1"/>
  <c r="BW187" i="4" a="1"/>
  <c r="BW187" i="4" s="1"/>
  <c r="BV187" i="4" a="1"/>
  <c r="BV187" i="4" s="1"/>
  <c r="BU187" i="4" a="1"/>
  <c r="BU187" i="4" s="1"/>
  <c r="BT187" i="4" a="1"/>
  <c r="BT187" i="4" s="1"/>
  <c r="BS187" i="4" a="1"/>
  <c r="BS187" i="4" s="1"/>
  <c r="BR187" i="4" a="1"/>
  <c r="BR187" i="4" s="1"/>
  <c r="BQ187" i="4" a="1"/>
  <c r="BQ187" i="4" s="1"/>
  <c r="BP187" i="4" a="1"/>
  <c r="BP187" i="4" s="1"/>
  <c r="BO187" i="4" a="1"/>
  <c r="BO187" i="4" s="1"/>
  <c r="BN187" i="4" a="1"/>
  <c r="BN187" i="4" s="1"/>
  <c r="BM187" i="4" a="1"/>
  <c r="BM187" i="4" s="1"/>
  <c r="BL187" i="4" a="1"/>
  <c r="BL187" i="4" s="1"/>
  <c r="BH187" i="4" a="1"/>
  <c r="BH187" i="4" s="1"/>
  <c r="BG187" i="4" a="1"/>
  <c r="BG187" i="4" s="1"/>
  <c r="BF187" i="4" a="1"/>
  <c r="BF187" i="4" s="1"/>
  <c r="BE187" i="4" a="1"/>
  <c r="BE187" i="4" s="1"/>
  <c r="BD187" i="4" a="1"/>
  <c r="BD187" i="4" s="1"/>
  <c r="BC187" i="4" a="1"/>
  <c r="BC187" i="4" s="1"/>
  <c r="BB187" i="4" a="1"/>
  <c r="BB187" i="4" s="1"/>
  <c r="BA187" i="4" a="1"/>
  <c r="BA187" i="4" s="1"/>
  <c r="AZ187" i="4" a="1"/>
  <c r="AZ187" i="4" s="1"/>
  <c r="AY187" i="4" a="1"/>
  <c r="AY187" i="4" s="1"/>
  <c r="AX187" i="4" a="1"/>
  <c r="AX187" i="4" s="1"/>
  <c r="AW187" i="4" a="1"/>
  <c r="AW187" i="4" s="1"/>
  <c r="AV187" i="4" a="1"/>
  <c r="AV187" i="4" s="1"/>
  <c r="AU187" i="4" a="1"/>
  <c r="AU187" i="4" s="1"/>
  <c r="AK187" i="4" a="1"/>
  <c r="AK187" i="4" s="1"/>
  <c r="AJ187" i="4" a="1"/>
  <c r="AJ187" i="4" s="1"/>
  <c r="AI187" i="4" a="1"/>
  <c r="AI187" i="4" s="1"/>
  <c r="AH187" i="4" a="1"/>
  <c r="AH187" i="4" s="1"/>
  <c r="AG187" i="4" a="1"/>
  <c r="AG187" i="4" s="1"/>
  <c r="AF188" i="4" a="1"/>
  <c r="AF188" i="4" s="1"/>
  <c r="AF187" i="4" a="1"/>
  <c r="AF187" i="4" s="1"/>
  <c r="DZ188" i="4" a="1"/>
  <c r="AR187" i="4" a="1"/>
  <c r="EA187" i="4" a="1"/>
  <c r="DZ187" i="4" a="1"/>
  <c r="BK188" i="4" a="1"/>
  <c r="DM187" i="4" a="1"/>
  <c r="DV188" i="4" a="1"/>
  <c r="AN187" i="4" a="1"/>
  <c r="DO187" i="4" a="1"/>
  <c r="DV187" i="4" a="1"/>
  <c r="AO187" i="4" a="1"/>
  <c r="BI187" i="4" a="1"/>
  <c r="AL188" i="4" a="1"/>
  <c r="AL187" i="4" a="1"/>
  <c r="AN188" i="4" a="1"/>
  <c r="DN188" i="4" a="1"/>
  <c r="DY188" i="4" a="1"/>
  <c r="BK187" i="4" a="1"/>
  <c r="DN187" i="4" a="1"/>
  <c r="DY187" i="4" a="1"/>
  <c r="BJ188" i="4" a="1"/>
  <c r="DQ188" i="4" a="1"/>
  <c r="AQ187" i="4" a="1"/>
  <c r="BJ187" i="4" a="1"/>
  <c r="AQ188" i="4" a="1"/>
  <c r="AR188" i="4" a="1"/>
  <c r="AO188" i="4" a="1"/>
  <c r="AM188" i="4" a="1"/>
  <c r="AT188" i="4" a="1"/>
  <c r="DM188" i="4" a="1"/>
  <c r="AM187" i="4" a="1"/>
  <c r="AT187" i="4" a="1"/>
  <c r="DQ187" i="4" a="1"/>
  <c r="AP188" i="4" a="1"/>
  <c r="BI188" i="4" a="1"/>
  <c r="EB188" i="4" a="1"/>
  <c r="AP187" i="4" a="1"/>
  <c r="EA188" i="4" a="1"/>
  <c r="AS188" i="4" a="1"/>
  <c r="DO188" i="4" a="1"/>
  <c r="EB187" i="4" a="1"/>
  <c r="AS187" i="4" a="1"/>
  <c r="BI187" i="4" l="1"/>
  <c r="DM187" i="4"/>
  <c r="AM188" i="4"/>
  <c r="DO188" i="4"/>
  <c r="EA188" i="4"/>
  <c r="DQ187" i="4"/>
  <c r="AQ188" i="4"/>
  <c r="DY187" i="4"/>
  <c r="AO187" i="4"/>
  <c r="BK188" i="4"/>
  <c r="AS187" i="4"/>
  <c r="AL187" i="4"/>
  <c r="AP187" i="4"/>
  <c r="AT187" i="4"/>
  <c r="BJ187" i="4"/>
  <c r="DN187" i="4"/>
  <c r="DV187" i="4"/>
  <c r="DZ187" i="4"/>
  <c r="AN188" i="4"/>
  <c r="AR188" i="4"/>
  <c r="EB188" i="4"/>
  <c r="AM187" i="4"/>
  <c r="AQ187" i="4"/>
  <c r="BK187" i="4"/>
  <c r="DO187" i="4"/>
  <c r="EA187" i="4"/>
  <c r="AO188" i="4"/>
  <c r="AS188" i="4"/>
  <c r="BI188" i="4"/>
  <c r="DM188" i="4"/>
  <c r="DQ188" i="4"/>
  <c r="DY188" i="4"/>
  <c r="AN187" i="4"/>
  <c r="AR187" i="4"/>
  <c r="EB187" i="4"/>
  <c r="AL188" i="4"/>
  <c r="AP188" i="4"/>
  <c r="AT188" i="4"/>
  <c r="BJ188" i="4"/>
  <c r="DN188" i="4"/>
  <c r="DV188" i="4"/>
  <c r="DZ188" i="4"/>
  <c r="G125" i="8"/>
  <c r="F125" i="8"/>
  <c r="F124" i="8"/>
  <c r="G124" i="8"/>
  <c r="E187" i="4" a="1"/>
  <c r="F187" i="4" a="1"/>
  <c r="E188" i="4" a="1"/>
  <c r="F188" i="4" a="1"/>
  <c r="F188" i="4" l="1"/>
  <c r="F194" i="4" s="1"/>
  <c r="E188" i="4"/>
  <c r="F187" i="4"/>
  <c r="F193" i="4" s="1"/>
  <c r="E187" i="4"/>
  <c r="D17" i="8"/>
  <c r="D16" i="8"/>
  <c r="F12" i="4" a="1"/>
  <c r="F186" i="4" a="1"/>
  <c r="F182" i="4" a="1"/>
  <c r="F178" i="4" a="1"/>
  <c r="F174" i="4" a="1"/>
  <c r="F170" i="4" a="1"/>
  <c r="F166" i="4" a="1"/>
  <c r="F162" i="4" a="1"/>
  <c r="F158" i="4" a="1"/>
  <c r="F154" i="4" a="1"/>
  <c r="F150" i="4" a="1"/>
  <c r="F146" i="4" a="1"/>
  <c r="F142" i="4" a="1"/>
  <c r="F138" i="4" a="1"/>
  <c r="F134" i="4" a="1"/>
  <c r="F130" i="4" a="1"/>
  <c r="F122" i="4" a="1"/>
  <c r="F118" i="4" a="1"/>
  <c r="F114" i="4" a="1"/>
  <c r="F110" i="4" a="1"/>
  <c r="F106" i="4" a="1"/>
  <c r="F102" i="4" a="1"/>
  <c r="F98" i="4" a="1"/>
  <c r="F94" i="4" a="1"/>
  <c r="F90" i="4" a="1"/>
  <c r="F86" i="4" a="1"/>
  <c r="F82" i="4" a="1"/>
  <c r="F78" i="4" a="1"/>
  <c r="F74" i="4" a="1"/>
  <c r="F70" i="4" a="1"/>
  <c r="F66" i="4" a="1"/>
  <c r="F62" i="4" a="1"/>
  <c r="F58" i="4" a="1"/>
  <c r="F54" i="4" a="1"/>
  <c r="F50" i="4" a="1"/>
  <c r="F46" i="4" a="1"/>
  <c r="F42" i="4" a="1"/>
  <c r="F38" i="4" a="1"/>
  <c r="F34" i="4" a="1"/>
  <c r="F30" i="4" a="1"/>
  <c r="F26" i="4" a="1"/>
  <c r="F22" i="4" a="1"/>
  <c r="F18" i="4" a="1"/>
  <c r="F14" i="4" a="1"/>
  <c r="F10" i="4" a="1"/>
  <c r="F13" i="4" a="1"/>
  <c r="F185" i="4" a="1"/>
  <c r="F181" i="4" a="1"/>
  <c r="F177" i="4" a="1"/>
  <c r="F173" i="4" a="1"/>
  <c r="F169" i="4" a="1"/>
  <c r="F165" i="4" a="1"/>
  <c r="F161" i="4" a="1"/>
  <c r="F157" i="4" a="1"/>
  <c r="F153" i="4" a="1"/>
  <c r="F149" i="4" a="1"/>
  <c r="F145" i="4" a="1"/>
  <c r="F141" i="4" a="1"/>
  <c r="F137" i="4" a="1"/>
  <c r="F133" i="4" a="1"/>
  <c r="F129" i="4" a="1"/>
  <c r="F125" i="4" a="1"/>
  <c r="F121" i="4" a="1"/>
  <c r="F117" i="4" a="1"/>
  <c r="F113" i="4" a="1"/>
  <c r="F109" i="4" a="1"/>
  <c r="F105" i="4" a="1"/>
  <c r="F101" i="4" a="1"/>
  <c r="F97" i="4" a="1"/>
  <c r="F93" i="4" a="1"/>
  <c r="F89" i="4" a="1"/>
  <c r="F85" i="4" a="1"/>
  <c r="F81" i="4" a="1"/>
  <c r="F77" i="4" a="1"/>
  <c r="F73" i="4" a="1"/>
  <c r="F69" i="4" a="1"/>
  <c r="F65" i="4" a="1"/>
  <c r="F61" i="4" a="1"/>
  <c r="F57" i="4" a="1"/>
  <c r="F53" i="4" a="1"/>
  <c r="F49" i="4" a="1"/>
  <c r="F45" i="4" a="1"/>
  <c r="F41" i="4" a="1"/>
  <c r="F37" i="4" a="1"/>
  <c r="F33" i="4" a="1"/>
  <c r="F29" i="4" a="1"/>
  <c r="F25" i="4" a="1"/>
  <c r="F21" i="4" a="1"/>
  <c r="F17" i="4" a="1"/>
  <c r="F9" i="4" a="1"/>
  <c r="F179" i="4" a="1"/>
  <c r="F99" i="4" a="1"/>
  <c r="F83" i="4" a="1"/>
  <c r="F67" i="4" a="1"/>
  <c r="F51" i="4" a="1"/>
  <c r="F35" i="4" a="1"/>
  <c r="F19" i="4" a="1"/>
  <c r="F11" i="4" a="1"/>
  <c r="F164" i="4" a="1"/>
  <c r="F184" i="4" a="1"/>
  <c r="F144" i="4" a="1"/>
  <c r="F128" i="4" a="1"/>
  <c r="F112" i="4" a="1"/>
  <c r="F96" i="4" a="1"/>
  <c r="F80" i="4" a="1"/>
  <c r="F64" i="4" a="1"/>
  <c r="F48" i="4" a="1"/>
  <c r="F32" i="4" a="1"/>
  <c r="F16" i="4" a="1"/>
  <c r="F163" i="4" a="1"/>
  <c r="F183" i="4" a="1"/>
  <c r="F151" i="4" a="1"/>
  <c r="F135" i="4" a="1"/>
  <c r="F111" i="4" a="1"/>
  <c r="F95" i="4" a="1"/>
  <c r="F79" i="4" a="1"/>
  <c r="F63" i="4" a="1"/>
  <c r="F47" i="4" a="1"/>
  <c r="F31" i="4" a="1"/>
  <c r="F15" i="4" a="1"/>
  <c r="F7" i="4" a="1"/>
  <c r="F171" i="4" a="1"/>
  <c r="F159" i="4" a="1"/>
  <c r="F140" i="4" a="1"/>
  <c r="F124" i="4" a="1"/>
  <c r="F108" i="4" a="1"/>
  <c r="F92" i="4" a="1"/>
  <c r="F84" i="4" a="1"/>
  <c r="F68" i="4" a="1"/>
  <c r="F52" i="4" a="1"/>
  <c r="F36" i="4" a="1"/>
  <c r="F20" i="4" a="1"/>
  <c r="F176" i="4" a="1"/>
  <c r="F167" i="4" a="1"/>
  <c r="F147" i="4" a="1"/>
  <c r="F139" i="4" a="1"/>
  <c r="F131" i="4" a="1"/>
  <c r="F123" i="4" a="1"/>
  <c r="F115" i="4" a="1"/>
  <c r="F107" i="4" a="1"/>
  <c r="F91" i="4" a="1"/>
  <c r="F75" i="4" a="1"/>
  <c r="F59" i="4" a="1"/>
  <c r="F43" i="4" a="1"/>
  <c r="F27" i="4" a="1"/>
  <c r="F155" i="4" a="1"/>
  <c r="F175" i="4" a="1"/>
  <c r="F152" i="4" a="1"/>
  <c r="F136" i="4" a="1"/>
  <c r="F120" i="4" a="1"/>
  <c r="F104" i="4" a="1"/>
  <c r="F88" i="4" a="1"/>
  <c r="F72" i="4" a="1"/>
  <c r="F56" i="4" a="1"/>
  <c r="F40" i="4" a="1"/>
  <c r="F24" i="4" a="1"/>
  <c r="F8" i="4" a="1"/>
  <c r="F172" i="4" a="1"/>
  <c r="F160" i="4" a="1"/>
  <c r="F143" i="4" a="1"/>
  <c r="F127" i="4" a="1"/>
  <c r="F119" i="4" a="1"/>
  <c r="F103" i="4" a="1"/>
  <c r="F87" i="4" a="1"/>
  <c r="F71" i="4" a="1"/>
  <c r="F55" i="4" a="1"/>
  <c r="F39" i="4" a="1"/>
  <c r="F23" i="4" a="1"/>
  <c r="F180" i="4" a="1"/>
  <c r="F168" i="4" a="1"/>
  <c r="F148" i="4" a="1"/>
  <c r="F132" i="4" a="1"/>
  <c r="F116" i="4" a="1"/>
  <c r="F100" i="4" a="1"/>
  <c r="F76" i="4" a="1"/>
  <c r="F60" i="4" a="1"/>
  <c r="F44" i="4" a="1"/>
  <c r="F28" i="4" a="1"/>
  <c r="F4" i="4" a="1"/>
  <c r="F5" i="4" a="1"/>
  <c r="F6" i="4" a="1"/>
  <c r="E7" i="4" a="1"/>
  <c r="E6" i="4" a="1"/>
  <c r="E5" i="4" a="1"/>
  <c r="E4" i="4" a="1"/>
  <c r="E45" i="4" a="1"/>
  <c r="E186" i="4" a="1"/>
  <c r="E182" i="4" a="1"/>
  <c r="E178" i="4" a="1"/>
  <c r="E174" i="4" a="1"/>
  <c r="E170" i="4" a="1"/>
  <c r="E166" i="4" a="1"/>
  <c r="E162" i="4" a="1"/>
  <c r="E158" i="4" a="1"/>
  <c r="E154" i="4" a="1"/>
  <c r="E150" i="4" a="1"/>
  <c r="E146" i="4" a="1"/>
  <c r="E142" i="4" a="1"/>
  <c r="E138" i="4" a="1"/>
  <c r="E134" i="4" a="1"/>
  <c r="E130" i="4" a="1"/>
  <c r="E122" i="4" a="1"/>
  <c r="E118" i="4" a="1"/>
  <c r="E114" i="4" a="1"/>
  <c r="E110" i="4" a="1"/>
  <c r="E106" i="4" a="1"/>
  <c r="E102" i="4" a="1"/>
  <c r="E98" i="4" a="1"/>
  <c r="E94" i="4" a="1"/>
  <c r="E90" i="4" a="1"/>
  <c r="E86" i="4" a="1"/>
  <c r="E82" i="4" a="1"/>
  <c r="E78" i="4" a="1"/>
  <c r="E74" i="4" a="1"/>
  <c r="E70" i="4" a="1"/>
  <c r="E66" i="4" a="1"/>
  <c r="E62" i="4" a="1"/>
  <c r="E58" i="4" a="1"/>
  <c r="E54" i="4" a="1"/>
  <c r="E50" i="4" a="1"/>
  <c r="E46" i="4" a="1"/>
  <c r="E42" i="4" a="1"/>
  <c r="E38" i="4" a="1"/>
  <c r="E34" i="4" a="1"/>
  <c r="E30" i="4" a="1"/>
  <c r="E26" i="4" a="1"/>
  <c r="E22" i="4" a="1"/>
  <c r="E18" i="4" a="1"/>
  <c r="E14" i="4" a="1"/>
  <c r="E10" i="4" a="1"/>
  <c r="E184" i="4" a="1"/>
  <c r="E180" i="4" a="1"/>
  <c r="E176" i="4" a="1"/>
  <c r="E172" i="4" a="1"/>
  <c r="E168" i="4" a="1"/>
  <c r="E164" i="4" a="1"/>
  <c r="E160" i="4" a="1"/>
  <c r="E152" i="4" a="1"/>
  <c r="E148" i="4" a="1"/>
  <c r="E144" i="4" a="1"/>
  <c r="E140" i="4" a="1"/>
  <c r="E136" i="4" a="1"/>
  <c r="E132" i="4" a="1"/>
  <c r="E128" i="4" a="1"/>
  <c r="E124" i="4" a="1"/>
  <c r="E120" i="4" a="1"/>
  <c r="E116" i="4" a="1"/>
  <c r="E112" i="4" a="1"/>
  <c r="E108" i="4" a="1"/>
  <c r="E104" i="4" a="1"/>
  <c r="E100" i="4" a="1"/>
  <c r="E96" i="4" a="1"/>
  <c r="E92" i="4" a="1"/>
  <c r="E88" i="4" a="1"/>
  <c r="E84" i="4" a="1"/>
  <c r="E80" i="4" a="1"/>
  <c r="E76" i="4" a="1"/>
  <c r="E72" i="4" a="1"/>
  <c r="E68" i="4" a="1"/>
  <c r="E64" i="4" a="1"/>
  <c r="E60" i="4" a="1"/>
  <c r="E56" i="4" a="1"/>
  <c r="E52" i="4" a="1"/>
  <c r="E48" i="4" a="1"/>
  <c r="E44" i="4" a="1"/>
  <c r="E40" i="4" a="1"/>
  <c r="E36" i="4" a="1"/>
  <c r="E32" i="4" a="1"/>
  <c r="E28" i="4" a="1"/>
  <c r="E24" i="4" a="1"/>
  <c r="E20" i="4" a="1"/>
  <c r="E16" i="4" a="1"/>
  <c r="E12" i="4" a="1"/>
  <c r="E8" i="4" a="1"/>
  <c r="E163" i="4" a="1"/>
  <c r="E105" i="4" a="1"/>
  <c r="E73" i="4" a="1"/>
  <c r="E57" i="4" a="1"/>
  <c r="E41" i="4" a="1"/>
  <c r="E25" i="4" a="1"/>
  <c r="E9" i="4" a="1"/>
  <c r="E171" i="4" a="1"/>
  <c r="E159" i="4" a="1"/>
  <c r="E143" i="4" a="1"/>
  <c r="E127" i="4" a="1"/>
  <c r="E111" i="4" a="1"/>
  <c r="E95" i="4" a="1"/>
  <c r="E79" i="4" a="1"/>
  <c r="E63" i="4" a="1"/>
  <c r="E47" i="4" a="1"/>
  <c r="E31" i="4" a="1"/>
  <c r="E15" i="4" a="1"/>
  <c r="E181" i="4" a="1"/>
  <c r="E169" i="4" a="1"/>
  <c r="E179" i="4" a="1"/>
  <c r="E167" i="4" a="1"/>
  <c r="E157" i="4" a="1"/>
  <c r="E149" i="4" a="1"/>
  <c r="E141" i="4" a="1"/>
  <c r="E133" i="4" a="1"/>
  <c r="E125" i="4" a="1"/>
  <c r="E117" i="4" a="1"/>
  <c r="E109" i="4" a="1"/>
  <c r="E101" i="4" a="1"/>
  <c r="E93" i="4" a="1"/>
  <c r="E85" i="4" a="1"/>
  <c r="E77" i="4" a="1"/>
  <c r="E69" i="4" a="1"/>
  <c r="E61" i="4" a="1"/>
  <c r="E53" i="4" a="1"/>
  <c r="E37" i="4" a="1"/>
  <c r="E29" i="4" a="1"/>
  <c r="E21" i="4" a="1"/>
  <c r="E13" i="4" a="1"/>
  <c r="E177" i="4" a="1"/>
  <c r="E175" i="4" a="1"/>
  <c r="E165" i="4" a="1"/>
  <c r="E155" i="4" a="1"/>
  <c r="E147" i="4" a="1"/>
  <c r="E139" i="4" a="1"/>
  <c r="E131" i="4" a="1"/>
  <c r="E123" i="4" a="1"/>
  <c r="E115" i="4" a="1"/>
  <c r="E107" i="4" a="1"/>
  <c r="E99" i="4" a="1"/>
  <c r="E91" i="4" a="1"/>
  <c r="E83" i="4" a="1"/>
  <c r="E75" i="4" a="1"/>
  <c r="E67" i="4" a="1"/>
  <c r="E59" i="4" a="1"/>
  <c r="E51" i="4" a="1"/>
  <c r="E43" i="4" a="1"/>
  <c r="E35" i="4" a="1"/>
  <c r="E27" i="4" a="1"/>
  <c r="E19" i="4" a="1"/>
  <c r="E11" i="4" a="1"/>
  <c r="E173" i="4" a="1"/>
  <c r="E153" i="4" a="1"/>
  <c r="E145" i="4" a="1"/>
  <c r="E137" i="4" a="1"/>
  <c r="E129" i="4" a="1"/>
  <c r="E121" i="4" a="1"/>
  <c r="E113" i="4" a="1"/>
  <c r="E97" i="4" a="1"/>
  <c r="E89" i="4" a="1"/>
  <c r="E81" i="4" a="1"/>
  <c r="E65" i="4" a="1"/>
  <c r="E49" i="4" a="1"/>
  <c r="E33" i="4" a="1"/>
  <c r="E17" i="4" a="1"/>
  <c r="E185" i="4" a="1"/>
  <c r="E161" i="4" a="1"/>
  <c r="E183" i="4" a="1"/>
  <c r="E151" i="4" a="1"/>
  <c r="E135" i="4" a="1"/>
  <c r="E119" i="4" a="1"/>
  <c r="E103" i="4" a="1"/>
  <c r="E87" i="4" a="1"/>
  <c r="E71" i="4" a="1"/>
  <c r="E55" i="4" a="1"/>
  <c r="E39" i="4" a="1"/>
  <c r="E23" i="4" a="1"/>
  <c r="J154" i="4" a="1"/>
  <c r="K154" i="4" a="1"/>
  <c r="K155" i="4" a="1"/>
  <c r="J155" i="4" a="1"/>
  <c r="K154" i="4" l="1"/>
  <c r="J154" i="4"/>
  <c r="K155" i="4"/>
  <c r="J155" i="4"/>
  <c r="F12" i="4"/>
  <c r="F28" i="4"/>
  <c r="F44" i="4"/>
  <c r="F60" i="4"/>
  <c r="F76" i="4"/>
  <c r="F100" i="4"/>
  <c r="F116" i="4"/>
  <c r="F132" i="4"/>
  <c r="F148" i="4"/>
  <c r="F168" i="4"/>
  <c r="F180" i="4"/>
  <c r="F23" i="4"/>
  <c r="F39" i="4"/>
  <c r="F55" i="4"/>
  <c r="F71" i="4"/>
  <c r="F87" i="4"/>
  <c r="F103" i="4"/>
  <c r="F119" i="4"/>
  <c r="F127" i="4"/>
  <c r="F143" i="4"/>
  <c r="F160" i="4"/>
  <c r="F172" i="4"/>
  <c r="F8" i="4"/>
  <c r="F24" i="4"/>
  <c r="F40" i="4"/>
  <c r="F56" i="4"/>
  <c r="F72" i="4"/>
  <c r="F88" i="4"/>
  <c r="F104" i="4"/>
  <c r="F120" i="4"/>
  <c r="F136" i="4"/>
  <c r="F152" i="4"/>
  <c r="F175" i="4"/>
  <c r="F155" i="4"/>
  <c r="F27" i="4"/>
  <c r="F43" i="4"/>
  <c r="F59" i="4"/>
  <c r="F75" i="4"/>
  <c r="F91" i="4"/>
  <c r="F107" i="4"/>
  <c r="F115" i="4"/>
  <c r="F123" i="4"/>
  <c r="F131" i="4"/>
  <c r="F139" i="4"/>
  <c r="F147" i="4"/>
  <c r="F167" i="4"/>
  <c r="F176" i="4"/>
  <c r="F20" i="4"/>
  <c r="F36" i="4"/>
  <c r="F52" i="4"/>
  <c r="F68" i="4"/>
  <c r="F84" i="4"/>
  <c r="F92" i="4"/>
  <c r="F108" i="4"/>
  <c r="F124" i="4"/>
  <c r="F140" i="4"/>
  <c r="F159" i="4"/>
  <c r="F171" i="4"/>
  <c r="F7" i="4"/>
  <c r="F15" i="4"/>
  <c r="F31" i="4"/>
  <c r="F47" i="4"/>
  <c r="F63" i="4"/>
  <c r="F79" i="4"/>
  <c r="F95" i="4"/>
  <c r="F111" i="4"/>
  <c r="F135" i="4"/>
  <c r="F151" i="4"/>
  <c r="F183" i="4"/>
  <c r="F163" i="4"/>
  <c r="F16" i="4"/>
  <c r="F32" i="4"/>
  <c r="F48" i="4"/>
  <c r="F64" i="4"/>
  <c r="F80" i="4"/>
  <c r="F96" i="4"/>
  <c r="F112" i="4"/>
  <c r="F128" i="4"/>
  <c r="F144" i="4"/>
  <c r="F184" i="4"/>
  <c r="F164" i="4"/>
  <c r="F11" i="4"/>
  <c r="F19" i="4"/>
  <c r="F35" i="4"/>
  <c r="F51" i="4"/>
  <c r="F67" i="4"/>
  <c r="F83" i="4"/>
  <c r="F99" i="4"/>
  <c r="F179" i="4"/>
  <c r="F9" i="4"/>
  <c r="F17" i="4"/>
  <c r="F21" i="4"/>
  <c r="F25" i="4"/>
  <c r="F29" i="4"/>
  <c r="F33" i="4"/>
  <c r="F37" i="4"/>
  <c r="F41" i="4"/>
  <c r="F45" i="4"/>
  <c r="F49" i="4"/>
  <c r="F53" i="4"/>
  <c r="F57" i="4"/>
  <c r="F61" i="4"/>
  <c r="F65" i="4"/>
  <c r="F69" i="4"/>
  <c r="F73" i="4"/>
  <c r="F77" i="4"/>
  <c r="F81" i="4"/>
  <c r="F85" i="4"/>
  <c r="F89" i="4"/>
  <c r="F93" i="4"/>
  <c r="F97" i="4"/>
  <c r="F101" i="4"/>
  <c r="F105" i="4"/>
  <c r="F109" i="4"/>
  <c r="F113" i="4"/>
  <c r="F117" i="4"/>
  <c r="F121" i="4"/>
  <c r="F125" i="4"/>
  <c r="F129" i="4"/>
  <c r="F133" i="4"/>
  <c r="F137" i="4"/>
  <c r="F141" i="4"/>
  <c r="F145" i="4"/>
  <c r="F149" i="4"/>
  <c r="F153" i="4"/>
  <c r="F157" i="4"/>
  <c r="F161" i="4"/>
  <c r="F165" i="4"/>
  <c r="F169" i="4"/>
  <c r="F173" i="4"/>
  <c r="F177" i="4"/>
  <c r="F181" i="4"/>
  <c r="F185" i="4"/>
  <c r="F13" i="4"/>
  <c r="F10" i="4"/>
  <c r="F14" i="4"/>
  <c r="F18" i="4"/>
  <c r="F22" i="4"/>
  <c r="F26" i="4"/>
  <c r="F30" i="4"/>
  <c r="F34" i="4"/>
  <c r="F38" i="4"/>
  <c r="F42" i="4"/>
  <c r="F46" i="4"/>
  <c r="F50" i="4"/>
  <c r="F54" i="4"/>
  <c r="F58" i="4"/>
  <c r="F62" i="4"/>
  <c r="F66" i="4"/>
  <c r="F70" i="4"/>
  <c r="F74" i="4"/>
  <c r="F78" i="4"/>
  <c r="F82" i="4"/>
  <c r="F86" i="4"/>
  <c r="F90" i="4"/>
  <c r="F94" i="4"/>
  <c r="F98" i="4"/>
  <c r="F102" i="4"/>
  <c r="F106" i="4"/>
  <c r="F110" i="4"/>
  <c r="F114" i="4"/>
  <c r="F118" i="4"/>
  <c r="F122" i="4"/>
  <c r="F130" i="4"/>
  <c r="F134" i="4"/>
  <c r="F138" i="4"/>
  <c r="F142" i="4"/>
  <c r="F146" i="4"/>
  <c r="F150" i="4"/>
  <c r="F154" i="4"/>
  <c r="F158" i="4"/>
  <c r="F162" i="4"/>
  <c r="F166" i="4"/>
  <c r="F170" i="4"/>
  <c r="F174" i="4"/>
  <c r="F178" i="4"/>
  <c r="F182" i="4"/>
  <c r="F186" i="4"/>
  <c r="F5" i="4"/>
  <c r="F4" i="4"/>
  <c r="F6" i="4"/>
  <c r="E7" i="4"/>
  <c r="E6" i="4"/>
  <c r="E5" i="4"/>
  <c r="E4" i="4"/>
  <c r="E45" i="4"/>
  <c r="E23" i="4"/>
  <c r="E39" i="4"/>
  <c r="E55" i="4"/>
  <c r="E71" i="4"/>
  <c r="E87" i="4"/>
  <c r="E103" i="4"/>
  <c r="E119" i="4"/>
  <c r="E135" i="4"/>
  <c r="E151" i="4"/>
  <c r="E183" i="4"/>
  <c r="E161" i="4"/>
  <c r="E185" i="4"/>
  <c r="E17" i="4"/>
  <c r="E33" i="4"/>
  <c r="E49" i="4"/>
  <c r="E65" i="4"/>
  <c r="E81" i="4"/>
  <c r="E89" i="4"/>
  <c r="E97" i="4"/>
  <c r="E113" i="4"/>
  <c r="E121" i="4"/>
  <c r="E129" i="4"/>
  <c r="E137" i="4"/>
  <c r="E145" i="4"/>
  <c r="E153" i="4"/>
  <c r="E173" i="4"/>
  <c r="E11" i="4"/>
  <c r="E19" i="4"/>
  <c r="E27" i="4"/>
  <c r="E35" i="4"/>
  <c r="E43" i="4"/>
  <c r="E51" i="4"/>
  <c r="E59" i="4"/>
  <c r="E67" i="4"/>
  <c r="E75" i="4"/>
  <c r="E83" i="4"/>
  <c r="E91" i="4"/>
  <c r="E99" i="4"/>
  <c r="E107" i="4"/>
  <c r="E115" i="4"/>
  <c r="E123" i="4"/>
  <c r="E131" i="4"/>
  <c r="E139" i="4"/>
  <c r="E147" i="4"/>
  <c r="E155" i="4"/>
  <c r="E165" i="4"/>
  <c r="E175" i="4"/>
  <c r="E177" i="4"/>
  <c r="E13" i="4"/>
  <c r="E21" i="4"/>
  <c r="E29" i="4"/>
  <c r="E37" i="4"/>
  <c r="E53" i="4"/>
  <c r="E61" i="4"/>
  <c r="E69" i="4"/>
  <c r="E77" i="4"/>
  <c r="E85" i="4"/>
  <c r="E93" i="4"/>
  <c r="E101" i="4"/>
  <c r="E109" i="4"/>
  <c r="E117" i="4"/>
  <c r="E125" i="4"/>
  <c r="E133" i="4"/>
  <c r="E141" i="4"/>
  <c r="E149" i="4"/>
  <c r="E157" i="4"/>
  <c r="E167" i="4"/>
  <c r="E179" i="4"/>
  <c r="E169" i="4"/>
  <c r="E181" i="4"/>
  <c r="E15" i="4"/>
  <c r="E31" i="4"/>
  <c r="E47" i="4"/>
  <c r="E63" i="4"/>
  <c r="E79" i="4"/>
  <c r="E95" i="4"/>
  <c r="E111" i="4"/>
  <c r="E127" i="4"/>
  <c r="E143" i="4"/>
  <c r="E159" i="4"/>
  <c r="E171" i="4"/>
  <c r="E9" i="4"/>
  <c r="E25" i="4"/>
  <c r="E41" i="4"/>
  <c r="E57" i="4"/>
  <c r="E73" i="4"/>
  <c r="E105" i="4"/>
  <c r="E163" i="4"/>
  <c r="E8" i="4"/>
  <c r="E12" i="4"/>
  <c r="E16" i="4"/>
  <c r="E20" i="4"/>
  <c r="E24" i="4"/>
  <c r="E28" i="4"/>
  <c r="E32" i="4"/>
  <c r="E36" i="4"/>
  <c r="E40" i="4"/>
  <c r="E44" i="4"/>
  <c r="E48" i="4"/>
  <c r="E52" i="4"/>
  <c r="E56" i="4"/>
  <c r="E60" i="4"/>
  <c r="E64" i="4"/>
  <c r="E68" i="4"/>
  <c r="E72" i="4"/>
  <c r="E76" i="4"/>
  <c r="E80" i="4"/>
  <c r="E84" i="4"/>
  <c r="E88" i="4"/>
  <c r="E92" i="4"/>
  <c r="E96" i="4"/>
  <c r="E100" i="4"/>
  <c r="E104" i="4"/>
  <c r="E108" i="4"/>
  <c r="E112" i="4"/>
  <c r="E116" i="4"/>
  <c r="E120" i="4"/>
  <c r="E124" i="4"/>
  <c r="E128" i="4"/>
  <c r="E132" i="4"/>
  <c r="E136" i="4"/>
  <c r="E140" i="4"/>
  <c r="E144" i="4"/>
  <c r="E148" i="4"/>
  <c r="E152" i="4"/>
  <c r="E160" i="4"/>
  <c r="E164" i="4"/>
  <c r="E168" i="4"/>
  <c r="E172" i="4"/>
  <c r="E176" i="4"/>
  <c r="E180" i="4"/>
  <c r="E184" i="4"/>
  <c r="E10" i="4"/>
  <c r="E14" i="4"/>
  <c r="E18" i="4"/>
  <c r="E22" i="4"/>
  <c r="E26" i="4"/>
  <c r="E30" i="4"/>
  <c r="E34" i="4"/>
  <c r="E38" i="4"/>
  <c r="E42" i="4"/>
  <c r="E46" i="4"/>
  <c r="E50" i="4"/>
  <c r="E54" i="4"/>
  <c r="E58" i="4"/>
  <c r="E62" i="4"/>
  <c r="E66" i="4"/>
  <c r="E70" i="4"/>
  <c r="E74" i="4"/>
  <c r="E78" i="4"/>
  <c r="E82" i="4"/>
  <c r="E86" i="4"/>
  <c r="E90" i="4"/>
  <c r="E94" i="4"/>
  <c r="E98" i="4"/>
  <c r="E102" i="4"/>
  <c r="E106" i="4"/>
  <c r="E110" i="4"/>
  <c r="E114" i="4"/>
  <c r="E118" i="4"/>
  <c r="E122" i="4"/>
  <c r="E130" i="4"/>
  <c r="E134" i="4"/>
  <c r="E138" i="4"/>
  <c r="E142" i="4"/>
  <c r="E146" i="4"/>
  <c r="E150" i="4"/>
  <c r="E154" i="4"/>
  <c r="E158" i="4"/>
  <c r="E162" i="4"/>
  <c r="E166" i="4"/>
  <c r="E170" i="4"/>
  <c r="E174" i="4"/>
  <c r="E178" i="4"/>
  <c r="E182" i="4"/>
  <c r="E186" i="4"/>
  <c r="P118" i="8"/>
  <c r="O118" i="8"/>
  <c r="P117" i="8"/>
  <c r="O117" i="8"/>
  <c r="P116" i="8"/>
  <c r="O116" i="8"/>
  <c r="P115" i="8"/>
  <c r="O115" i="8"/>
  <c r="P114" i="8"/>
  <c r="O114" i="8"/>
  <c r="P110" i="8"/>
  <c r="O110" i="8"/>
  <c r="P109" i="8"/>
  <c r="O109" i="8"/>
  <c r="P108" i="8"/>
  <c r="O108" i="8"/>
  <c r="P107" i="8"/>
  <c r="O107" i="8"/>
  <c r="AD123" i="4" l="1"/>
  <c r="AC123" i="4"/>
  <c r="AB123" i="4"/>
  <c r="AA123" i="4"/>
  <c r="Z123" i="4"/>
  <c r="Y123" i="4"/>
  <c r="X123" i="4"/>
  <c r="W123" i="4"/>
  <c r="V123" i="4"/>
  <c r="U123" i="4"/>
  <c r="T123" i="4"/>
  <c r="S123" i="4"/>
  <c r="R123" i="4"/>
  <c r="Q123" i="4"/>
  <c r="P123" i="4"/>
  <c r="O123" i="4"/>
  <c r="N123" i="4"/>
  <c r="M123" i="4"/>
  <c r="L123" i="4"/>
  <c r="I123" i="4"/>
  <c r="H123" i="4"/>
  <c r="G123" i="4"/>
  <c r="D123" i="4"/>
  <c r="C123" i="4"/>
  <c r="AD122" i="4"/>
  <c r="AC122" i="4"/>
  <c r="AB122" i="4"/>
  <c r="AA122" i="4"/>
  <c r="Z122" i="4"/>
  <c r="Y122" i="4"/>
  <c r="X122" i="4"/>
  <c r="W122" i="4"/>
  <c r="V122" i="4"/>
  <c r="U122" i="4"/>
  <c r="T122" i="4"/>
  <c r="S122" i="4"/>
  <c r="R122" i="4"/>
  <c r="Q122" i="4"/>
  <c r="P122" i="4"/>
  <c r="O122" i="4"/>
  <c r="N122" i="4"/>
  <c r="M122" i="4"/>
  <c r="L122" i="4"/>
  <c r="I122" i="4"/>
  <c r="H122" i="4"/>
  <c r="G122" i="4"/>
  <c r="D122" i="4"/>
  <c r="C122" i="4"/>
  <c r="HT70" i="5" l="1"/>
  <c r="HT71" i="5" s="1"/>
  <c r="HT72" i="5" s="1"/>
  <c r="D100" i="8"/>
  <c r="C100" i="8"/>
  <c r="D99" i="8"/>
  <c r="C99" i="8"/>
  <c r="D98" i="8"/>
  <c r="C98" i="8"/>
  <c r="D97" i="8"/>
  <c r="C97" i="8"/>
  <c r="D96" i="8"/>
  <c r="C96" i="8"/>
  <c r="D95" i="8"/>
  <c r="C95" i="8"/>
  <c r="D94" i="8"/>
  <c r="C94" i="8"/>
  <c r="D93" i="8"/>
  <c r="C93" i="8"/>
  <c r="D92" i="8"/>
  <c r="C92" i="8"/>
  <c r="D91" i="8"/>
  <c r="C91" i="8"/>
  <c r="D90" i="8"/>
  <c r="C90" i="8"/>
  <c r="D89" i="8"/>
  <c r="C89" i="8"/>
  <c r="D88" i="8"/>
  <c r="C88" i="8"/>
  <c r="D87" i="8"/>
  <c r="C87" i="8"/>
  <c r="D86" i="8"/>
  <c r="C86" i="8"/>
  <c r="D85" i="8"/>
  <c r="C85" i="8"/>
  <c r="D84" i="8"/>
  <c r="C84" i="8"/>
  <c r="D83" i="8"/>
  <c r="C83" i="8"/>
  <c r="D82" i="8"/>
  <c r="C82" i="8"/>
  <c r="D81" i="8"/>
  <c r="C81" i="8"/>
  <c r="D80" i="8"/>
  <c r="C80" i="8"/>
  <c r="D79" i="8"/>
  <c r="C79" i="8"/>
  <c r="D78" i="8"/>
  <c r="C78" i="8"/>
  <c r="D77" i="8"/>
  <c r="C77" i="8"/>
  <c r="D76" i="8"/>
  <c r="C76" i="8"/>
  <c r="D75" i="8"/>
  <c r="C75" i="8"/>
  <c r="D74" i="8"/>
  <c r="C74" i="8"/>
  <c r="D73" i="8"/>
  <c r="C73" i="8"/>
  <c r="D72" i="8"/>
  <c r="C72" i="8"/>
  <c r="D71" i="8"/>
  <c r="C71" i="8"/>
  <c r="D70" i="8"/>
  <c r="C70" i="8"/>
  <c r="D69" i="8"/>
  <c r="C69" i="8"/>
  <c r="D68" i="8"/>
  <c r="C68" i="8"/>
  <c r="D67" i="8"/>
  <c r="C67" i="8"/>
  <c r="D66" i="8"/>
  <c r="C66" i="8"/>
  <c r="D65" i="8"/>
  <c r="C65" i="8"/>
  <c r="D64" i="8"/>
  <c r="C64" i="8"/>
  <c r="D63" i="8"/>
  <c r="C63" i="8"/>
  <c r="D62" i="8"/>
  <c r="C62" i="8"/>
  <c r="D61" i="8"/>
  <c r="C61" i="8"/>
  <c r="D60" i="8"/>
  <c r="C60" i="8"/>
  <c r="D59" i="8"/>
  <c r="C59" i="8"/>
  <c r="D58" i="8"/>
  <c r="C58" i="8"/>
  <c r="D57" i="8"/>
  <c r="C57" i="8"/>
  <c r="D56" i="8"/>
  <c r="C56" i="8"/>
  <c r="D55" i="8"/>
  <c r="C55" i="8"/>
  <c r="D54" i="8"/>
  <c r="C54" i="8"/>
  <c r="D53" i="8"/>
  <c r="C53" i="8"/>
  <c r="D52" i="8"/>
  <c r="C52" i="8"/>
  <c r="D51" i="8"/>
  <c r="C51" i="8"/>
  <c r="D50" i="8"/>
  <c r="C50" i="8"/>
  <c r="D49" i="8"/>
  <c r="C49" i="8"/>
  <c r="D48" i="8"/>
  <c r="C48" i="8"/>
  <c r="D47" i="8"/>
  <c r="C47" i="8"/>
  <c r="D46" i="8"/>
  <c r="C46" i="8"/>
  <c r="D45" i="8"/>
  <c r="C45" i="8"/>
  <c r="D44" i="8"/>
  <c r="C44" i="8"/>
  <c r="D43" i="8"/>
  <c r="C43" i="8"/>
  <c r="D42" i="8"/>
  <c r="C42" i="8"/>
  <c r="D41" i="8"/>
  <c r="C41" i="8"/>
  <c r="D40" i="8"/>
  <c r="C40" i="8"/>
  <c r="D39" i="8"/>
  <c r="C39" i="8"/>
  <c r="D38" i="8"/>
  <c r="C38" i="8"/>
  <c r="C37" i="8"/>
  <c r="D37" i="8"/>
  <c r="D36" i="8" l="1"/>
  <c r="E21" i="17"/>
  <c r="F21" i="17" s="1"/>
  <c r="E17" i="17"/>
  <c r="F17" i="17" s="1"/>
  <c r="E16" i="17"/>
  <c r="F16" i="17" s="1"/>
  <c r="E14" i="17"/>
  <c r="F14" i="17" s="1"/>
  <c r="E13" i="17"/>
  <c r="F13" i="17" s="1"/>
  <c r="E12" i="17"/>
  <c r="F12" i="17" s="1"/>
  <c r="E11" i="17"/>
  <c r="F11" i="17" s="1"/>
  <c r="E9" i="17"/>
  <c r="F9" i="17" s="1"/>
  <c r="E8" i="17"/>
  <c r="F8" i="17" s="1"/>
  <c r="E6" i="17"/>
  <c r="F6" i="17" s="1"/>
  <c r="B23" i="17" l="1"/>
  <c r="B18" i="17"/>
  <c r="B19" i="17" s="1"/>
  <c r="B10" i="17"/>
  <c r="B7" i="17"/>
  <c r="N4" i="16" l="1"/>
  <c r="N5" i="16"/>
  <c r="N6" i="16"/>
  <c r="N7" i="16"/>
  <c r="N8" i="16"/>
  <c r="N9" i="16"/>
  <c r="N10" i="16"/>
  <c r="N11" i="16"/>
  <c r="N12" i="16"/>
  <c r="N13" i="16"/>
  <c r="N14" i="16"/>
  <c r="N15" i="16"/>
  <c r="N16" i="16"/>
  <c r="N17" i="16"/>
  <c r="N18" i="16"/>
  <c r="N19" i="16"/>
  <c r="N20" i="16"/>
  <c r="N3" i="16"/>
  <c r="K4" i="16"/>
  <c r="K5" i="16"/>
  <c r="K6" i="16"/>
  <c r="K7" i="16"/>
  <c r="K8" i="16"/>
  <c r="K9" i="16"/>
  <c r="K10" i="16"/>
  <c r="K11" i="16"/>
  <c r="K12" i="16"/>
  <c r="K13" i="16"/>
  <c r="K14" i="16"/>
  <c r="K15" i="16"/>
  <c r="K16" i="16"/>
  <c r="K17" i="16"/>
  <c r="K18" i="16"/>
  <c r="K19" i="16"/>
  <c r="K20" i="16"/>
  <c r="K3" i="16"/>
  <c r="H4" i="16"/>
  <c r="H5" i="16"/>
  <c r="H6" i="16"/>
  <c r="H7" i="16"/>
  <c r="H8" i="16"/>
  <c r="H9" i="16"/>
  <c r="H10" i="16"/>
  <c r="H11" i="16"/>
  <c r="H12" i="16"/>
  <c r="H13" i="16"/>
  <c r="H14" i="16"/>
  <c r="H15" i="16"/>
  <c r="H16" i="16"/>
  <c r="H17" i="16"/>
  <c r="H18" i="16"/>
  <c r="H19" i="16"/>
  <c r="H20" i="16"/>
  <c r="H3" i="16"/>
  <c r="D4" i="16"/>
  <c r="D5" i="16"/>
  <c r="D6" i="16"/>
  <c r="D7" i="16"/>
  <c r="D8" i="16"/>
  <c r="D9" i="16"/>
  <c r="D10" i="16"/>
  <c r="D11" i="16"/>
  <c r="D12" i="16"/>
  <c r="D13" i="16"/>
  <c r="D14" i="16"/>
  <c r="D15" i="16"/>
  <c r="D16" i="16"/>
  <c r="D17" i="16"/>
  <c r="D18" i="16"/>
  <c r="D19" i="16"/>
  <c r="D20" i="16"/>
  <c r="D21" i="16"/>
  <c r="D22" i="16"/>
  <c r="D23" i="16"/>
  <c r="D24" i="16"/>
  <c r="D25" i="16"/>
  <c r="D26" i="16"/>
  <c r="D27" i="16"/>
  <c r="D28" i="16"/>
  <c r="D29" i="16"/>
  <c r="D30" i="16"/>
  <c r="D31" i="16"/>
  <c r="D32" i="16"/>
  <c r="D33" i="16"/>
  <c r="D34" i="16"/>
  <c r="D35" i="16"/>
  <c r="D36" i="16"/>
  <c r="D37" i="16"/>
  <c r="D38" i="16"/>
  <c r="D39" i="16"/>
  <c r="D40" i="16"/>
  <c r="D41" i="16"/>
  <c r="D42" i="16"/>
  <c r="D43" i="16"/>
  <c r="D44" i="16"/>
  <c r="D45" i="16"/>
  <c r="D46" i="16"/>
  <c r="D47" i="16"/>
  <c r="D48" i="16"/>
  <c r="D49" i="16"/>
  <c r="D50" i="16"/>
  <c r="D51" i="16"/>
  <c r="D52" i="16"/>
  <c r="D53" i="16"/>
  <c r="D54" i="16"/>
  <c r="D55" i="16"/>
  <c r="D56" i="16"/>
  <c r="D57" i="16"/>
  <c r="D58" i="16"/>
  <c r="D59" i="16"/>
  <c r="D60" i="16"/>
  <c r="D61" i="16"/>
  <c r="D62" i="16"/>
  <c r="D63" i="16"/>
  <c r="D64" i="16"/>
  <c r="D65" i="16"/>
  <c r="D66" i="16"/>
  <c r="D67" i="16"/>
  <c r="D68" i="16"/>
  <c r="D69" i="16"/>
  <c r="D70" i="16"/>
  <c r="D71" i="16"/>
  <c r="D72" i="16"/>
  <c r="D73" i="16"/>
  <c r="D74" i="16"/>
  <c r="D75" i="16"/>
  <c r="D76" i="16"/>
  <c r="D77" i="16"/>
  <c r="D78" i="16"/>
  <c r="D79" i="16"/>
  <c r="D80" i="16"/>
  <c r="D81" i="16"/>
  <c r="D82" i="16"/>
  <c r="D83" i="16"/>
  <c r="D84" i="16"/>
  <c r="D85" i="16"/>
  <c r="D86" i="16"/>
  <c r="D87" i="16"/>
  <c r="D88" i="16"/>
  <c r="D89" i="16"/>
  <c r="D90" i="16"/>
  <c r="D91" i="16"/>
  <c r="D92" i="16"/>
  <c r="D93" i="16"/>
  <c r="D94" i="16"/>
  <c r="D95" i="16"/>
  <c r="D96" i="16"/>
  <c r="D97" i="16"/>
  <c r="D98" i="16"/>
  <c r="D99" i="16"/>
  <c r="D100" i="16"/>
  <c r="D101" i="16"/>
  <c r="D102" i="16"/>
  <c r="D103" i="16"/>
  <c r="D3" i="16"/>
  <c r="F276" i="9"/>
  <c r="G276" i="9"/>
  <c r="E276" i="9"/>
  <c r="G275" i="9"/>
  <c r="F275" i="9"/>
  <c r="E275" i="9"/>
  <c r="G274" i="9"/>
  <c r="F274" i="9"/>
  <c r="E274" i="9"/>
  <c r="D276" i="9"/>
  <c r="D275" i="9"/>
  <c r="D274" i="9"/>
  <c r="EL180" i="4" l="1"/>
  <c r="EL182" i="4" s="1"/>
  <c r="EK180" i="4"/>
  <c r="EK182" i="4" s="1"/>
  <c r="EJ180" i="4"/>
  <c r="EJ182" i="4" s="1"/>
  <c r="EI180" i="4"/>
  <c r="EI182" i="4" s="1"/>
  <c r="EH180" i="4"/>
  <c r="EH182" i="4" s="1"/>
  <c r="EG180" i="4"/>
  <c r="EG182" i="4" s="1"/>
  <c r="EF180" i="4"/>
  <c r="EF182" i="4" s="1"/>
  <c r="EE180" i="4"/>
  <c r="EE182" i="4" s="1"/>
  <c r="ED180" i="4"/>
  <c r="ED182" i="4" s="1"/>
  <c r="EC180" i="4"/>
  <c r="EC182" i="4" s="1"/>
  <c r="EB180" i="4"/>
  <c r="EB182" i="4" s="1"/>
  <c r="EA180" i="4"/>
  <c r="EA182" i="4" s="1"/>
  <c r="DZ180" i="4"/>
  <c r="DZ182" i="4" s="1"/>
  <c r="DY180" i="4"/>
  <c r="DY182" i="4" s="1"/>
  <c r="DX180" i="4"/>
  <c r="DX182" i="4" s="1"/>
  <c r="DW180" i="4"/>
  <c r="DW182" i="4" s="1"/>
  <c r="DV180" i="4"/>
  <c r="DU180" i="4"/>
  <c r="DU182" i="4" s="1"/>
  <c r="DT180" i="4"/>
  <c r="DT182" i="4" s="1"/>
  <c r="DS180" i="4"/>
  <c r="DS182" i="4" s="1"/>
  <c r="DR180" i="4"/>
  <c r="DR182" i="4" s="1"/>
  <c r="DQ180" i="4"/>
  <c r="DQ182" i="4" s="1"/>
  <c r="DP180" i="4"/>
  <c r="DP182" i="4" s="1"/>
  <c r="DO180" i="4"/>
  <c r="DO182" i="4" s="1"/>
  <c r="DN180" i="4"/>
  <c r="DN182" i="4" s="1"/>
  <c r="DM180" i="4"/>
  <c r="DM182" i="4" s="1"/>
  <c r="DL180" i="4"/>
  <c r="DL182" i="4" s="1"/>
  <c r="DK180" i="4"/>
  <c r="DK182" i="4" s="1"/>
  <c r="DJ180" i="4"/>
  <c r="DJ182" i="4" s="1"/>
  <c r="DI180" i="4"/>
  <c r="DI182" i="4" s="1"/>
  <c r="DH180" i="4"/>
  <c r="DH182" i="4" s="1"/>
  <c r="DG180" i="4"/>
  <c r="DG182" i="4" s="1"/>
  <c r="DF180" i="4"/>
  <c r="DF182" i="4" s="1"/>
  <c r="DE180" i="4"/>
  <c r="DE182" i="4" s="1"/>
  <c r="DD180" i="4"/>
  <c r="DD182" i="4" s="1"/>
  <c r="DC180" i="4"/>
  <c r="DC182" i="4" s="1"/>
  <c r="DB180" i="4"/>
  <c r="DB182" i="4" s="1"/>
  <c r="DA180" i="4"/>
  <c r="DA182" i="4" s="1"/>
  <c r="CZ180" i="4"/>
  <c r="CZ182" i="4" s="1"/>
  <c r="CY180" i="4"/>
  <c r="CY182" i="4" s="1"/>
  <c r="CX180" i="4"/>
  <c r="CX182" i="4" s="1"/>
  <c r="CW180" i="4"/>
  <c r="CW182" i="4" s="1"/>
  <c r="CV180" i="4"/>
  <c r="CV182" i="4" s="1"/>
  <c r="CU180" i="4"/>
  <c r="CU182" i="4" s="1"/>
  <c r="CT180" i="4"/>
  <c r="CT182" i="4" s="1"/>
  <c r="CS180" i="4"/>
  <c r="CS182" i="4" s="1"/>
  <c r="CR180" i="4"/>
  <c r="CR182" i="4" s="1"/>
  <c r="CQ180" i="4"/>
  <c r="CQ182" i="4" s="1"/>
  <c r="CP180" i="4"/>
  <c r="CP182" i="4" s="1"/>
  <c r="CO180" i="4"/>
  <c r="CO182" i="4" s="1"/>
  <c r="CN180" i="4"/>
  <c r="CN182" i="4" s="1"/>
  <c r="CM180" i="4"/>
  <c r="CM182" i="4" s="1"/>
  <c r="CL180" i="4"/>
  <c r="CL182" i="4" s="1"/>
  <c r="CK180" i="4"/>
  <c r="CK182" i="4" s="1"/>
  <c r="CJ180" i="4"/>
  <c r="CJ182" i="4" s="1"/>
  <c r="CI180" i="4"/>
  <c r="CI182" i="4" s="1"/>
  <c r="CH180" i="4"/>
  <c r="CH182" i="4" s="1"/>
  <c r="CG180" i="4"/>
  <c r="CG182" i="4" s="1"/>
  <c r="CF180" i="4"/>
  <c r="CF182" i="4" s="1"/>
  <c r="CE180" i="4"/>
  <c r="CE182" i="4" s="1"/>
  <c r="CD180" i="4"/>
  <c r="CD182" i="4" s="1"/>
  <c r="CC180" i="4"/>
  <c r="CC182" i="4" s="1"/>
  <c r="CB180" i="4"/>
  <c r="CB182" i="4" s="1"/>
  <c r="CA180" i="4"/>
  <c r="CA182" i="4" s="1"/>
  <c r="BZ180" i="4"/>
  <c r="BZ182" i="4" s="1"/>
  <c r="BY180" i="4"/>
  <c r="BY182" i="4" s="1"/>
  <c r="BX180" i="4"/>
  <c r="BX182" i="4" s="1"/>
  <c r="BW180" i="4"/>
  <c r="BW182" i="4" s="1"/>
  <c r="BV180" i="4"/>
  <c r="BV182" i="4" s="1"/>
  <c r="BU180" i="4"/>
  <c r="BU182" i="4" s="1"/>
  <c r="BT180" i="4"/>
  <c r="BT182" i="4" s="1"/>
  <c r="BS180" i="4"/>
  <c r="BS182" i="4" s="1"/>
  <c r="BR180" i="4"/>
  <c r="BR182" i="4" s="1"/>
  <c r="BQ180" i="4"/>
  <c r="BQ182" i="4" s="1"/>
  <c r="BP180" i="4"/>
  <c r="BP182" i="4" s="1"/>
  <c r="BO180" i="4"/>
  <c r="BO182" i="4" s="1"/>
  <c r="BN180" i="4"/>
  <c r="BN182" i="4" s="1"/>
  <c r="BM180" i="4"/>
  <c r="BM182" i="4" s="1"/>
  <c r="BL180" i="4"/>
  <c r="BL182" i="4" s="1"/>
  <c r="BK180" i="4"/>
  <c r="BK182" i="4" s="1"/>
  <c r="BJ180" i="4"/>
  <c r="BJ182" i="4" s="1"/>
  <c r="BI180" i="4"/>
  <c r="BI182" i="4" s="1"/>
  <c r="BH180" i="4"/>
  <c r="BH182" i="4" s="1"/>
  <c r="BG180" i="4"/>
  <c r="BG182" i="4" s="1"/>
  <c r="BF180" i="4"/>
  <c r="BF182" i="4" s="1"/>
  <c r="BE180" i="4"/>
  <c r="BE182" i="4" s="1"/>
  <c r="BD180" i="4"/>
  <c r="BD182" i="4" s="1"/>
  <c r="BC180" i="4"/>
  <c r="BC182" i="4" s="1"/>
  <c r="BB180" i="4"/>
  <c r="BB182" i="4" s="1"/>
  <c r="BA180" i="4"/>
  <c r="BA182" i="4" s="1"/>
  <c r="AZ180" i="4"/>
  <c r="AZ182" i="4" s="1"/>
  <c r="AY180" i="4"/>
  <c r="AY182" i="4" s="1"/>
  <c r="AX180" i="4"/>
  <c r="AX182" i="4" s="1"/>
  <c r="AW180" i="4"/>
  <c r="AW182" i="4" s="1"/>
  <c r="AV180" i="4"/>
  <c r="AV182" i="4" s="1"/>
  <c r="AU180" i="4"/>
  <c r="AU182" i="4" s="1"/>
  <c r="AT180" i="4"/>
  <c r="AT182" i="4" s="1"/>
  <c r="AS180" i="4"/>
  <c r="AS182" i="4" s="1"/>
  <c r="AR180" i="4"/>
  <c r="AR182" i="4" s="1"/>
  <c r="AQ180" i="4"/>
  <c r="AQ182" i="4" s="1"/>
  <c r="AP180" i="4"/>
  <c r="AP182" i="4" s="1"/>
  <c r="AO180" i="4"/>
  <c r="AO182" i="4" s="1"/>
  <c r="AN180" i="4"/>
  <c r="AN182" i="4" s="1"/>
  <c r="AM180" i="4"/>
  <c r="AM182" i="4" s="1"/>
  <c r="AL180" i="4"/>
  <c r="AL182" i="4" s="1"/>
  <c r="AK180" i="4"/>
  <c r="AK182" i="4" s="1"/>
  <c r="AJ180" i="4"/>
  <c r="AJ182" i="4" s="1"/>
  <c r="AI180" i="4"/>
  <c r="AI182" i="4" s="1"/>
  <c r="AH180" i="4"/>
  <c r="AH182" i="4" s="1"/>
  <c r="AG180" i="4"/>
  <c r="AG182" i="4" s="1"/>
  <c r="EL179" i="4"/>
  <c r="EL181" i="4" s="1"/>
  <c r="EK179" i="4"/>
  <c r="EK181" i="4" s="1"/>
  <c r="EJ179" i="4"/>
  <c r="EJ181" i="4" s="1"/>
  <c r="EI179" i="4"/>
  <c r="EI181" i="4" s="1"/>
  <c r="EH179" i="4"/>
  <c r="EH181" i="4" s="1"/>
  <c r="EG179" i="4"/>
  <c r="EG181" i="4" s="1"/>
  <c r="EF179" i="4"/>
  <c r="EF181" i="4" s="1"/>
  <c r="EE179" i="4"/>
  <c r="EE181" i="4" s="1"/>
  <c r="ED179" i="4"/>
  <c r="ED181" i="4" s="1"/>
  <c r="EC179" i="4"/>
  <c r="EC181" i="4" s="1"/>
  <c r="EB179" i="4"/>
  <c r="EB181" i="4" s="1"/>
  <c r="EA179" i="4"/>
  <c r="EA181" i="4" s="1"/>
  <c r="DZ179" i="4"/>
  <c r="DZ181" i="4" s="1"/>
  <c r="DY179" i="4"/>
  <c r="DY181" i="4" s="1"/>
  <c r="DX179" i="4"/>
  <c r="DX181" i="4" s="1"/>
  <c r="DW179" i="4"/>
  <c r="DW181" i="4" s="1"/>
  <c r="DV179" i="4"/>
  <c r="DV181" i="4" s="1"/>
  <c r="DU179" i="4"/>
  <c r="DU181" i="4" s="1"/>
  <c r="DT179" i="4"/>
  <c r="DT181" i="4" s="1"/>
  <c r="DS179" i="4"/>
  <c r="DS181" i="4" s="1"/>
  <c r="DR179" i="4"/>
  <c r="DR181" i="4" s="1"/>
  <c r="DQ179" i="4"/>
  <c r="DQ181" i="4" s="1"/>
  <c r="DP179" i="4"/>
  <c r="DP181" i="4" s="1"/>
  <c r="DO179" i="4"/>
  <c r="DO181" i="4" s="1"/>
  <c r="DN179" i="4"/>
  <c r="DN181" i="4" s="1"/>
  <c r="DM179" i="4"/>
  <c r="DM181" i="4" s="1"/>
  <c r="DL179" i="4"/>
  <c r="DL181" i="4" s="1"/>
  <c r="DK179" i="4"/>
  <c r="DK181" i="4" s="1"/>
  <c r="DJ179" i="4"/>
  <c r="DJ181" i="4" s="1"/>
  <c r="DI179" i="4"/>
  <c r="DI181" i="4" s="1"/>
  <c r="DH179" i="4"/>
  <c r="DH181" i="4" s="1"/>
  <c r="DG179" i="4"/>
  <c r="DG181" i="4" s="1"/>
  <c r="DF179" i="4"/>
  <c r="DF181" i="4" s="1"/>
  <c r="DE179" i="4"/>
  <c r="DE181" i="4" s="1"/>
  <c r="DD179" i="4"/>
  <c r="DD181" i="4" s="1"/>
  <c r="DC179" i="4"/>
  <c r="DC181" i="4" s="1"/>
  <c r="DB179" i="4"/>
  <c r="DB181" i="4" s="1"/>
  <c r="DA179" i="4"/>
  <c r="DA181" i="4" s="1"/>
  <c r="CZ179" i="4"/>
  <c r="CZ181" i="4" s="1"/>
  <c r="CY179" i="4"/>
  <c r="CY181" i="4" s="1"/>
  <c r="CX179" i="4"/>
  <c r="CX181" i="4" s="1"/>
  <c r="CW179" i="4"/>
  <c r="CW181" i="4" s="1"/>
  <c r="CV179" i="4"/>
  <c r="CV181" i="4" s="1"/>
  <c r="CU179" i="4"/>
  <c r="CU181" i="4" s="1"/>
  <c r="CT179" i="4"/>
  <c r="CT181" i="4" s="1"/>
  <c r="CS179" i="4"/>
  <c r="CS181" i="4" s="1"/>
  <c r="CR179" i="4"/>
  <c r="CR181" i="4" s="1"/>
  <c r="CQ179" i="4"/>
  <c r="CQ181" i="4" s="1"/>
  <c r="CP179" i="4"/>
  <c r="CP181" i="4" s="1"/>
  <c r="CO179" i="4"/>
  <c r="CO181" i="4" s="1"/>
  <c r="CN179" i="4"/>
  <c r="CN181" i="4" s="1"/>
  <c r="CM179" i="4"/>
  <c r="CM181" i="4" s="1"/>
  <c r="CL179" i="4"/>
  <c r="CL181" i="4" s="1"/>
  <c r="CK179" i="4"/>
  <c r="CK181" i="4" s="1"/>
  <c r="CJ179" i="4"/>
  <c r="CJ181" i="4" s="1"/>
  <c r="CI179" i="4"/>
  <c r="CI181" i="4" s="1"/>
  <c r="CH179" i="4"/>
  <c r="CH181" i="4" s="1"/>
  <c r="CG179" i="4"/>
  <c r="CG181" i="4" s="1"/>
  <c r="CF179" i="4"/>
  <c r="CF181" i="4" s="1"/>
  <c r="CE179" i="4"/>
  <c r="CE181" i="4" s="1"/>
  <c r="CD179" i="4"/>
  <c r="CD181" i="4" s="1"/>
  <c r="CC179" i="4"/>
  <c r="CC181" i="4" s="1"/>
  <c r="CB179" i="4"/>
  <c r="CB181" i="4" s="1"/>
  <c r="CA179" i="4"/>
  <c r="CA181" i="4" s="1"/>
  <c r="BZ179" i="4"/>
  <c r="BZ181" i="4" s="1"/>
  <c r="BY179" i="4"/>
  <c r="BY181" i="4" s="1"/>
  <c r="BX179" i="4"/>
  <c r="BX181" i="4" s="1"/>
  <c r="BW179" i="4"/>
  <c r="BW181" i="4" s="1"/>
  <c r="BV179" i="4"/>
  <c r="BV181" i="4" s="1"/>
  <c r="BU179" i="4"/>
  <c r="BU181" i="4" s="1"/>
  <c r="BT179" i="4"/>
  <c r="BT181" i="4" s="1"/>
  <c r="BS179" i="4"/>
  <c r="BS181" i="4" s="1"/>
  <c r="BR179" i="4"/>
  <c r="BR181" i="4" s="1"/>
  <c r="BQ179" i="4"/>
  <c r="BQ181" i="4" s="1"/>
  <c r="BP179" i="4"/>
  <c r="BP181" i="4" s="1"/>
  <c r="BO179" i="4"/>
  <c r="BO181" i="4" s="1"/>
  <c r="BN179" i="4"/>
  <c r="BN181" i="4" s="1"/>
  <c r="BM179" i="4"/>
  <c r="BM181" i="4" s="1"/>
  <c r="BL179" i="4"/>
  <c r="BL181" i="4" s="1"/>
  <c r="BK179" i="4"/>
  <c r="BK181" i="4" s="1"/>
  <c r="BJ179" i="4"/>
  <c r="BJ181" i="4" s="1"/>
  <c r="BI179" i="4"/>
  <c r="BI181" i="4" s="1"/>
  <c r="BH179" i="4"/>
  <c r="BH181" i="4" s="1"/>
  <c r="BG179" i="4"/>
  <c r="BG181" i="4" s="1"/>
  <c r="BF179" i="4"/>
  <c r="BF181" i="4" s="1"/>
  <c r="BE179" i="4"/>
  <c r="BE181" i="4" s="1"/>
  <c r="BD179" i="4"/>
  <c r="BD181" i="4" s="1"/>
  <c r="BC179" i="4"/>
  <c r="BC181" i="4" s="1"/>
  <c r="BB179" i="4"/>
  <c r="BB181" i="4" s="1"/>
  <c r="BA179" i="4"/>
  <c r="BA181" i="4" s="1"/>
  <c r="AZ179" i="4"/>
  <c r="AZ181" i="4" s="1"/>
  <c r="AY179" i="4"/>
  <c r="AY181" i="4" s="1"/>
  <c r="AX179" i="4"/>
  <c r="AX181" i="4" s="1"/>
  <c r="AW179" i="4"/>
  <c r="AW181" i="4" s="1"/>
  <c r="AV179" i="4"/>
  <c r="AV181" i="4" s="1"/>
  <c r="AU179" i="4"/>
  <c r="AU181" i="4" s="1"/>
  <c r="AT179" i="4"/>
  <c r="AT181" i="4" s="1"/>
  <c r="AS179" i="4"/>
  <c r="AS181" i="4" s="1"/>
  <c r="AR179" i="4"/>
  <c r="AR181" i="4" s="1"/>
  <c r="AQ179" i="4"/>
  <c r="AQ181" i="4" s="1"/>
  <c r="AP179" i="4"/>
  <c r="AP181" i="4" s="1"/>
  <c r="AO179" i="4"/>
  <c r="AO181" i="4" s="1"/>
  <c r="AN179" i="4"/>
  <c r="AN181" i="4" s="1"/>
  <c r="AM179" i="4"/>
  <c r="AM181" i="4" s="1"/>
  <c r="AL179" i="4"/>
  <c r="AL181" i="4" s="1"/>
  <c r="AK179" i="4"/>
  <c r="AK181" i="4" s="1"/>
  <c r="AJ179" i="4"/>
  <c r="AJ181" i="4" s="1"/>
  <c r="AI179" i="4"/>
  <c r="AH179" i="4"/>
  <c r="AH181" i="4" s="1"/>
  <c r="AG179" i="4"/>
  <c r="AG181" i="4" s="1"/>
  <c r="AF180" i="4"/>
  <c r="AF179" i="4"/>
  <c r="AF181" i="4" s="1"/>
  <c r="DV182" i="4"/>
  <c r="J102" i="15"/>
  <c r="J101" i="15"/>
  <c r="J100" i="15"/>
  <c r="J99" i="15"/>
  <c r="J91" i="15"/>
  <c r="J90" i="15"/>
  <c r="J89" i="15"/>
  <c r="J88" i="15"/>
  <c r="EL176" i="4"/>
  <c r="EL178" i="4" s="1"/>
  <c r="EK176" i="4"/>
  <c r="EK178" i="4" s="1"/>
  <c r="EJ176" i="4"/>
  <c r="EJ178" i="4" s="1"/>
  <c r="EI176" i="4"/>
  <c r="EI178" i="4" s="1"/>
  <c r="EH176" i="4"/>
  <c r="EH178" i="4" s="1"/>
  <c r="EG176" i="4"/>
  <c r="EG178" i="4" s="1"/>
  <c r="EF176" i="4"/>
  <c r="EF178" i="4" s="1"/>
  <c r="EE176" i="4"/>
  <c r="EE178" i="4" s="1"/>
  <c r="ED176" i="4"/>
  <c r="ED178" i="4" s="1"/>
  <c r="EC176" i="4"/>
  <c r="EC178" i="4" s="1"/>
  <c r="EB176" i="4"/>
  <c r="EB178" i="4" s="1"/>
  <c r="EA176" i="4"/>
  <c r="EA178" i="4" s="1"/>
  <c r="DZ176" i="4"/>
  <c r="DZ178" i="4" s="1"/>
  <c r="DY176" i="4"/>
  <c r="DY178" i="4" s="1"/>
  <c r="DX176" i="4"/>
  <c r="DX178" i="4" s="1"/>
  <c r="DW176" i="4"/>
  <c r="DW178" i="4" s="1"/>
  <c r="DV176" i="4"/>
  <c r="DV178" i="4" s="1"/>
  <c r="DU176" i="4"/>
  <c r="DU178" i="4" s="1"/>
  <c r="DT176" i="4"/>
  <c r="DT178" i="4" s="1"/>
  <c r="DS176" i="4"/>
  <c r="DS178" i="4" s="1"/>
  <c r="DR176" i="4"/>
  <c r="DR178" i="4" s="1"/>
  <c r="DQ176" i="4"/>
  <c r="DQ178" i="4" s="1"/>
  <c r="DP176" i="4"/>
  <c r="DP178" i="4" s="1"/>
  <c r="DO176" i="4"/>
  <c r="DO178" i="4" s="1"/>
  <c r="DN176" i="4"/>
  <c r="DN178" i="4" s="1"/>
  <c r="DM176" i="4"/>
  <c r="DM178" i="4" s="1"/>
  <c r="DL176" i="4"/>
  <c r="DL178" i="4" s="1"/>
  <c r="DK176" i="4"/>
  <c r="DK178" i="4" s="1"/>
  <c r="DJ176" i="4"/>
  <c r="DJ178" i="4" s="1"/>
  <c r="DI176" i="4"/>
  <c r="DI178" i="4" s="1"/>
  <c r="DH176" i="4"/>
  <c r="DH178" i="4" s="1"/>
  <c r="DG176" i="4"/>
  <c r="DG178" i="4" s="1"/>
  <c r="DF176" i="4"/>
  <c r="DF178" i="4" s="1"/>
  <c r="DE176" i="4"/>
  <c r="DE178" i="4" s="1"/>
  <c r="DD176" i="4"/>
  <c r="DD178" i="4" s="1"/>
  <c r="DC176" i="4"/>
  <c r="DC178" i="4" s="1"/>
  <c r="DB176" i="4"/>
  <c r="DB178" i="4" s="1"/>
  <c r="DA176" i="4"/>
  <c r="DA178" i="4" s="1"/>
  <c r="CZ176" i="4"/>
  <c r="CZ178" i="4" s="1"/>
  <c r="CY176" i="4"/>
  <c r="CY178" i="4" s="1"/>
  <c r="CX176" i="4"/>
  <c r="CX178" i="4" s="1"/>
  <c r="CW176" i="4"/>
  <c r="CW178" i="4" s="1"/>
  <c r="CV176" i="4"/>
  <c r="CV178" i="4" s="1"/>
  <c r="CU176" i="4"/>
  <c r="CU178" i="4" s="1"/>
  <c r="CT176" i="4"/>
  <c r="CT178" i="4" s="1"/>
  <c r="CS176" i="4"/>
  <c r="CS178" i="4" s="1"/>
  <c r="CR176" i="4"/>
  <c r="CR178" i="4" s="1"/>
  <c r="CQ176" i="4"/>
  <c r="CQ178" i="4" s="1"/>
  <c r="CP176" i="4"/>
  <c r="CP178" i="4" s="1"/>
  <c r="CO176" i="4"/>
  <c r="CO178" i="4" s="1"/>
  <c r="CN176" i="4"/>
  <c r="CN178" i="4" s="1"/>
  <c r="CM176" i="4"/>
  <c r="CM178" i="4" s="1"/>
  <c r="CL176" i="4"/>
  <c r="CL178" i="4" s="1"/>
  <c r="CK176" i="4"/>
  <c r="CK178" i="4" s="1"/>
  <c r="CJ176" i="4"/>
  <c r="CJ178" i="4" s="1"/>
  <c r="CI176" i="4"/>
  <c r="CI178" i="4" s="1"/>
  <c r="CH176" i="4"/>
  <c r="CH178" i="4" s="1"/>
  <c r="CG176" i="4"/>
  <c r="CG178" i="4" s="1"/>
  <c r="CF176" i="4"/>
  <c r="CF178" i="4" s="1"/>
  <c r="CE176" i="4"/>
  <c r="CE178" i="4" s="1"/>
  <c r="CD176" i="4"/>
  <c r="CD178" i="4" s="1"/>
  <c r="CC176" i="4"/>
  <c r="CC178" i="4" s="1"/>
  <c r="CB176" i="4"/>
  <c r="CB178" i="4" s="1"/>
  <c r="CA176" i="4"/>
  <c r="CA178" i="4" s="1"/>
  <c r="BZ176" i="4"/>
  <c r="BZ178" i="4" s="1"/>
  <c r="BY176" i="4"/>
  <c r="BY178" i="4" s="1"/>
  <c r="BX176" i="4"/>
  <c r="BX178" i="4" s="1"/>
  <c r="BW176" i="4"/>
  <c r="BW178" i="4" s="1"/>
  <c r="BV176" i="4"/>
  <c r="BV178" i="4" s="1"/>
  <c r="BU176" i="4"/>
  <c r="BU178" i="4" s="1"/>
  <c r="BT176" i="4"/>
  <c r="BT178" i="4" s="1"/>
  <c r="BS176" i="4"/>
  <c r="BS178" i="4" s="1"/>
  <c r="BR176" i="4"/>
  <c r="BR178" i="4" s="1"/>
  <c r="BQ176" i="4"/>
  <c r="BQ178" i="4" s="1"/>
  <c r="BP176" i="4"/>
  <c r="BP178" i="4" s="1"/>
  <c r="BO176" i="4"/>
  <c r="BO178" i="4" s="1"/>
  <c r="BN176" i="4"/>
  <c r="BN178" i="4" s="1"/>
  <c r="BM176" i="4"/>
  <c r="BM178" i="4" s="1"/>
  <c r="BL176" i="4"/>
  <c r="BL178" i="4" s="1"/>
  <c r="BK176" i="4"/>
  <c r="BK178" i="4" s="1"/>
  <c r="BJ176" i="4"/>
  <c r="BJ178" i="4" s="1"/>
  <c r="BI176" i="4"/>
  <c r="BI178" i="4" s="1"/>
  <c r="BH176" i="4"/>
  <c r="BH178" i="4" s="1"/>
  <c r="BG176" i="4"/>
  <c r="BG178" i="4" s="1"/>
  <c r="BF176" i="4"/>
  <c r="BF178" i="4" s="1"/>
  <c r="BE176" i="4"/>
  <c r="BE178" i="4" s="1"/>
  <c r="BD176" i="4"/>
  <c r="BD178" i="4" s="1"/>
  <c r="BC176" i="4"/>
  <c r="BC178" i="4" s="1"/>
  <c r="BB176" i="4"/>
  <c r="BB178" i="4" s="1"/>
  <c r="BA176" i="4"/>
  <c r="BA178" i="4" s="1"/>
  <c r="AZ176" i="4"/>
  <c r="AZ178" i="4" s="1"/>
  <c r="AY176" i="4"/>
  <c r="AY178" i="4" s="1"/>
  <c r="AX176" i="4"/>
  <c r="AX178" i="4" s="1"/>
  <c r="AW176" i="4"/>
  <c r="AW178" i="4" s="1"/>
  <c r="AV176" i="4"/>
  <c r="AV178" i="4" s="1"/>
  <c r="AU176" i="4"/>
  <c r="AU178" i="4" s="1"/>
  <c r="AT176" i="4"/>
  <c r="AT178" i="4" s="1"/>
  <c r="AS176" i="4"/>
  <c r="AS178" i="4" s="1"/>
  <c r="AR176" i="4"/>
  <c r="AR178" i="4" s="1"/>
  <c r="AQ176" i="4"/>
  <c r="AQ178" i="4" s="1"/>
  <c r="AP176" i="4"/>
  <c r="AP178" i="4" s="1"/>
  <c r="AO176" i="4"/>
  <c r="AO178" i="4" s="1"/>
  <c r="AN176" i="4"/>
  <c r="AN178" i="4" s="1"/>
  <c r="AM176" i="4"/>
  <c r="AM178" i="4" s="1"/>
  <c r="AL176" i="4"/>
  <c r="AL178" i="4" s="1"/>
  <c r="AK176" i="4"/>
  <c r="AK178" i="4" s="1"/>
  <c r="AJ176" i="4"/>
  <c r="AJ178" i="4" s="1"/>
  <c r="AI176" i="4"/>
  <c r="AH176" i="4"/>
  <c r="AH178" i="4" s="1"/>
  <c r="AG176" i="4"/>
  <c r="AG178" i="4" s="1"/>
  <c r="EL175" i="4"/>
  <c r="EL177" i="4" s="1"/>
  <c r="EK175" i="4"/>
  <c r="EK177" i="4" s="1"/>
  <c r="EJ175" i="4"/>
  <c r="EJ177" i="4" s="1"/>
  <c r="EI175" i="4"/>
  <c r="EI177" i="4" s="1"/>
  <c r="EH175" i="4"/>
  <c r="EH177" i="4" s="1"/>
  <c r="EG175" i="4"/>
  <c r="EG177" i="4" s="1"/>
  <c r="EF175" i="4"/>
  <c r="EF177" i="4" s="1"/>
  <c r="EE175" i="4"/>
  <c r="EE177" i="4" s="1"/>
  <c r="ED175" i="4"/>
  <c r="ED177" i="4" s="1"/>
  <c r="EC175" i="4"/>
  <c r="EC177" i="4" s="1"/>
  <c r="EB175" i="4"/>
  <c r="EB177" i="4" s="1"/>
  <c r="EA175" i="4"/>
  <c r="EA177" i="4" s="1"/>
  <c r="DZ175" i="4"/>
  <c r="DZ177" i="4" s="1"/>
  <c r="DY175" i="4"/>
  <c r="DY177" i="4" s="1"/>
  <c r="DX175" i="4"/>
  <c r="DX177" i="4" s="1"/>
  <c r="DW175" i="4"/>
  <c r="DW177" i="4" s="1"/>
  <c r="DV175" i="4"/>
  <c r="DV177" i="4" s="1"/>
  <c r="DU175" i="4"/>
  <c r="DU177" i="4" s="1"/>
  <c r="DT175" i="4"/>
  <c r="DT177" i="4" s="1"/>
  <c r="DS175" i="4"/>
  <c r="DS177" i="4" s="1"/>
  <c r="DR175" i="4"/>
  <c r="DR177" i="4" s="1"/>
  <c r="DQ175" i="4"/>
  <c r="DQ177" i="4" s="1"/>
  <c r="DP175" i="4"/>
  <c r="DP177" i="4" s="1"/>
  <c r="DO175" i="4"/>
  <c r="DO177" i="4" s="1"/>
  <c r="DN175" i="4"/>
  <c r="DN177" i="4" s="1"/>
  <c r="DM175" i="4"/>
  <c r="DM177" i="4" s="1"/>
  <c r="DL175" i="4"/>
  <c r="DL177" i="4" s="1"/>
  <c r="DK175" i="4"/>
  <c r="DK177" i="4" s="1"/>
  <c r="DJ175" i="4"/>
  <c r="DJ177" i="4" s="1"/>
  <c r="DI175" i="4"/>
  <c r="DI177" i="4" s="1"/>
  <c r="DH175" i="4"/>
  <c r="DH177" i="4" s="1"/>
  <c r="DG175" i="4"/>
  <c r="DG177" i="4" s="1"/>
  <c r="DF175" i="4"/>
  <c r="DF177" i="4" s="1"/>
  <c r="DE175" i="4"/>
  <c r="DE177" i="4" s="1"/>
  <c r="DD175" i="4"/>
  <c r="DD177" i="4" s="1"/>
  <c r="DC175" i="4"/>
  <c r="DC177" i="4" s="1"/>
  <c r="DB175" i="4"/>
  <c r="DB177" i="4" s="1"/>
  <c r="DA175" i="4"/>
  <c r="DA177" i="4" s="1"/>
  <c r="CZ175" i="4"/>
  <c r="CZ177" i="4" s="1"/>
  <c r="CY175" i="4"/>
  <c r="CY177" i="4" s="1"/>
  <c r="CX175" i="4"/>
  <c r="CX177" i="4" s="1"/>
  <c r="CW175" i="4"/>
  <c r="CW177" i="4" s="1"/>
  <c r="CV175" i="4"/>
  <c r="CV177" i="4" s="1"/>
  <c r="CU175" i="4"/>
  <c r="CU177" i="4" s="1"/>
  <c r="CT175" i="4"/>
  <c r="CT177" i="4" s="1"/>
  <c r="CS175" i="4"/>
  <c r="CS177" i="4" s="1"/>
  <c r="CR175" i="4"/>
  <c r="CR177" i="4" s="1"/>
  <c r="CQ175" i="4"/>
  <c r="CQ177" i="4" s="1"/>
  <c r="CP175" i="4"/>
  <c r="CP177" i="4" s="1"/>
  <c r="CO175" i="4"/>
  <c r="CO177" i="4" s="1"/>
  <c r="CN175" i="4"/>
  <c r="CN177" i="4" s="1"/>
  <c r="CM175" i="4"/>
  <c r="CM177" i="4" s="1"/>
  <c r="CL175" i="4"/>
  <c r="CL177" i="4" s="1"/>
  <c r="CK175" i="4"/>
  <c r="CK177" i="4" s="1"/>
  <c r="CJ175" i="4"/>
  <c r="CJ177" i="4" s="1"/>
  <c r="CI175" i="4"/>
  <c r="CI177" i="4" s="1"/>
  <c r="CH175" i="4"/>
  <c r="CH177" i="4" s="1"/>
  <c r="CG175" i="4"/>
  <c r="CG177" i="4" s="1"/>
  <c r="CF175" i="4"/>
  <c r="CF177" i="4" s="1"/>
  <c r="CE175" i="4"/>
  <c r="CE177" i="4" s="1"/>
  <c r="CD175" i="4"/>
  <c r="CD177" i="4" s="1"/>
  <c r="CC175" i="4"/>
  <c r="CC177" i="4" s="1"/>
  <c r="CB175" i="4"/>
  <c r="CB177" i="4" s="1"/>
  <c r="CA175" i="4"/>
  <c r="CA177" i="4" s="1"/>
  <c r="BZ175" i="4"/>
  <c r="BZ177" i="4" s="1"/>
  <c r="BY175" i="4"/>
  <c r="BY177" i="4" s="1"/>
  <c r="BX175" i="4"/>
  <c r="BX177" i="4" s="1"/>
  <c r="BW175" i="4"/>
  <c r="BW177" i="4" s="1"/>
  <c r="BV175" i="4"/>
  <c r="BV177" i="4" s="1"/>
  <c r="BU175" i="4"/>
  <c r="BU177" i="4" s="1"/>
  <c r="BT175" i="4"/>
  <c r="BT177" i="4" s="1"/>
  <c r="BS175" i="4"/>
  <c r="BS177" i="4" s="1"/>
  <c r="BR175" i="4"/>
  <c r="BR177" i="4" s="1"/>
  <c r="BQ175" i="4"/>
  <c r="BQ177" i="4" s="1"/>
  <c r="BP175" i="4"/>
  <c r="BP177" i="4" s="1"/>
  <c r="BO175" i="4"/>
  <c r="BO177" i="4" s="1"/>
  <c r="BN175" i="4"/>
  <c r="BN177" i="4" s="1"/>
  <c r="BM175" i="4"/>
  <c r="BM177" i="4" s="1"/>
  <c r="BL175" i="4"/>
  <c r="BL177" i="4" s="1"/>
  <c r="BK175" i="4"/>
  <c r="BK177" i="4" s="1"/>
  <c r="BJ175" i="4"/>
  <c r="BJ177" i="4" s="1"/>
  <c r="BI175" i="4"/>
  <c r="BI177" i="4" s="1"/>
  <c r="BH175" i="4"/>
  <c r="BH177" i="4" s="1"/>
  <c r="BG175" i="4"/>
  <c r="BG177" i="4" s="1"/>
  <c r="BF175" i="4"/>
  <c r="BF177" i="4" s="1"/>
  <c r="BE175" i="4"/>
  <c r="BE177" i="4" s="1"/>
  <c r="BD175" i="4"/>
  <c r="BD177" i="4" s="1"/>
  <c r="BC175" i="4"/>
  <c r="BC177" i="4" s="1"/>
  <c r="BB175" i="4"/>
  <c r="BB177" i="4" s="1"/>
  <c r="BA175" i="4"/>
  <c r="BA177" i="4" s="1"/>
  <c r="AZ175" i="4"/>
  <c r="AZ177" i="4" s="1"/>
  <c r="AY175" i="4"/>
  <c r="AY177" i="4" s="1"/>
  <c r="AX175" i="4"/>
  <c r="AX177" i="4" s="1"/>
  <c r="AW175" i="4"/>
  <c r="AW177" i="4" s="1"/>
  <c r="AV175" i="4"/>
  <c r="AV177" i="4" s="1"/>
  <c r="AU175" i="4"/>
  <c r="AU177" i="4" s="1"/>
  <c r="AT175" i="4"/>
  <c r="AT177" i="4" s="1"/>
  <c r="AS175" i="4"/>
  <c r="AS177" i="4" s="1"/>
  <c r="AR175" i="4"/>
  <c r="AR177" i="4" s="1"/>
  <c r="AQ175" i="4"/>
  <c r="AQ177" i="4" s="1"/>
  <c r="AP175" i="4"/>
  <c r="AP177" i="4" s="1"/>
  <c r="AO175" i="4"/>
  <c r="AO177" i="4" s="1"/>
  <c r="AN175" i="4"/>
  <c r="AN177" i="4" s="1"/>
  <c r="AM175" i="4"/>
  <c r="AM177" i="4" s="1"/>
  <c r="AL175" i="4"/>
  <c r="AL177" i="4" s="1"/>
  <c r="AK175" i="4"/>
  <c r="AK177" i="4" s="1"/>
  <c r="AJ175" i="4"/>
  <c r="AJ177" i="4" s="1"/>
  <c r="AI175" i="4"/>
  <c r="AI177" i="4" s="1"/>
  <c r="AH175" i="4"/>
  <c r="AH177" i="4" s="1"/>
  <c r="AG175" i="4"/>
  <c r="AG177" i="4" s="1"/>
  <c r="AF176" i="4"/>
  <c r="AF178" i="4" s="1"/>
  <c r="AF175" i="4"/>
  <c r="J77" i="15"/>
  <c r="J78" i="15"/>
  <c r="J79" i="15"/>
  <c r="J67" i="15"/>
  <c r="J68" i="15"/>
  <c r="J69" i="15"/>
  <c r="AF184" i="4"/>
  <c r="AF183" i="4"/>
  <c r="AD125" i="4"/>
  <c r="AC125" i="4"/>
  <c r="AB125" i="4"/>
  <c r="AA125" i="4"/>
  <c r="Z125" i="4"/>
  <c r="Y125" i="4"/>
  <c r="X125" i="4"/>
  <c r="W125" i="4"/>
  <c r="V125" i="4"/>
  <c r="U125" i="4"/>
  <c r="T125" i="4"/>
  <c r="S125" i="4"/>
  <c r="R125" i="4"/>
  <c r="Q125" i="4"/>
  <c r="P125" i="4"/>
  <c r="O125" i="4"/>
  <c r="N125" i="4"/>
  <c r="M125" i="4"/>
  <c r="L125" i="4"/>
  <c r="I125" i="4"/>
  <c r="H125" i="4"/>
  <c r="G125" i="4"/>
  <c r="D125" i="4"/>
  <c r="C125" i="4"/>
  <c r="G123" i="3"/>
  <c r="D105" i="15" l="1"/>
  <c r="AF182" i="4"/>
  <c r="D104" i="15"/>
  <c r="D94" i="15"/>
  <c r="AI181" i="4"/>
  <c r="D93" i="15"/>
  <c r="D72" i="15"/>
  <c r="J94" i="15" s="1"/>
  <c r="AF177" i="4"/>
  <c r="D71" i="15"/>
  <c r="J93" i="15" s="1"/>
  <c r="D82" i="15"/>
  <c r="J105" i="15" s="1"/>
  <c r="D81" i="15"/>
  <c r="J104" i="15" s="1"/>
  <c r="AI178" i="4"/>
  <c r="D106" i="15" l="1"/>
  <c r="D95" i="15"/>
  <c r="D83" i="15"/>
  <c r="J106" i="15" s="1"/>
  <c r="D73" i="15"/>
  <c r="J95" i="15" s="1"/>
  <c r="EK190" i="4"/>
  <c r="EK189" i="4"/>
  <c r="EJ190" i="4"/>
  <c r="EJ189" i="4"/>
  <c r="EI190" i="4"/>
  <c r="EI189" i="4"/>
  <c r="EH190" i="4"/>
  <c r="EH189" i="4"/>
  <c r="EG190" i="4"/>
  <c r="EG189" i="4"/>
  <c r="EF190" i="4"/>
  <c r="EF189" i="4"/>
  <c r="EE190" i="4"/>
  <c r="EE189" i="4"/>
  <c r="ED190" i="4"/>
  <c r="ED189" i="4"/>
  <c r="EC190" i="4"/>
  <c r="EC189" i="4"/>
  <c r="DX190" i="4"/>
  <c r="DX189" i="4"/>
  <c r="DW190" i="4"/>
  <c r="DW189" i="4"/>
  <c r="DU190" i="4"/>
  <c r="DU189" i="4"/>
  <c r="DT190" i="4"/>
  <c r="DT189" i="4"/>
  <c r="DS190" i="4"/>
  <c r="DS189" i="4"/>
  <c r="DR190" i="4"/>
  <c r="DR189" i="4"/>
  <c r="DP190" i="4"/>
  <c r="DP189" i="4"/>
  <c r="DL190" i="4"/>
  <c r="DL189" i="4"/>
  <c r="DK190" i="4"/>
  <c r="DK189" i="4"/>
  <c r="DJ190" i="4"/>
  <c r="DJ189" i="4"/>
  <c r="DI190" i="4"/>
  <c r="DI189" i="4"/>
  <c r="DH190" i="4"/>
  <c r="DH189" i="4"/>
  <c r="DG190" i="4"/>
  <c r="DG189" i="4"/>
  <c r="DF190" i="4"/>
  <c r="DF189" i="4"/>
  <c r="DE190" i="4"/>
  <c r="DE189" i="4"/>
  <c r="DD190" i="4"/>
  <c r="DD189" i="4"/>
  <c r="DC190" i="4"/>
  <c r="DC189" i="4"/>
  <c r="DB190" i="4"/>
  <c r="DB189" i="4"/>
  <c r="DA190" i="4"/>
  <c r="DA189" i="4"/>
  <c r="CZ190" i="4"/>
  <c r="CZ189" i="4"/>
  <c r="CY190" i="4"/>
  <c r="CY189" i="4"/>
  <c r="CX190" i="4"/>
  <c r="CX189" i="4"/>
  <c r="CW190" i="4"/>
  <c r="CW189" i="4"/>
  <c r="CV190" i="4"/>
  <c r="CV189" i="4"/>
  <c r="CU190" i="4"/>
  <c r="CU189" i="4"/>
  <c r="CT190" i="4"/>
  <c r="CT189" i="4"/>
  <c r="CS190" i="4"/>
  <c r="CS189" i="4"/>
  <c r="CR190" i="4"/>
  <c r="CR189" i="4"/>
  <c r="CQ190" i="4"/>
  <c r="CQ189" i="4"/>
  <c r="CP190" i="4"/>
  <c r="CP189" i="4"/>
  <c r="CO190" i="4"/>
  <c r="CO189" i="4"/>
  <c r="CN190" i="4"/>
  <c r="CN189" i="4"/>
  <c r="CM190" i="4"/>
  <c r="CM189" i="4"/>
  <c r="CL190" i="4"/>
  <c r="CL189" i="4"/>
  <c r="CK190" i="4"/>
  <c r="CK189" i="4"/>
  <c r="CJ190" i="4"/>
  <c r="CJ189" i="4"/>
  <c r="CI190" i="4"/>
  <c r="CI189" i="4"/>
  <c r="CH190" i="4"/>
  <c r="CH189" i="4"/>
  <c r="CG190" i="4"/>
  <c r="CG189" i="4"/>
  <c r="CF190" i="4"/>
  <c r="CF189" i="4"/>
  <c r="CE190" i="4"/>
  <c r="CE189" i="4"/>
  <c r="CD190" i="4"/>
  <c r="CD189" i="4"/>
  <c r="CC190" i="4"/>
  <c r="CC189" i="4"/>
  <c r="CB190" i="4"/>
  <c r="CB189" i="4"/>
  <c r="CA190" i="4"/>
  <c r="CA189" i="4"/>
  <c r="BZ190" i="4"/>
  <c r="BZ189" i="4"/>
  <c r="BY190" i="4"/>
  <c r="BY189" i="4"/>
  <c r="BX190" i="4"/>
  <c r="BX189" i="4"/>
  <c r="BW190" i="4"/>
  <c r="BW189" i="4"/>
  <c r="BV190" i="4"/>
  <c r="BV189" i="4"/>
  <c r="BU190" i="4"/>
  <c r="BU189" i="4"/>
  <c r="BT190" i="4"/>
  <c r="BT189" i="4"/>
  <c r="BS190" i="4"/>
  <c r="BS189" i="4"/>
  <c r="BR190" i="4"/>
  <c r="BR189" i="4"/>
  <c r="BQ190" i="4"/>
  <c r="BQ189" i="4"/>
  <c r="BP190" i="4"/>
  <c r="BP189" i="4"/>
  <c r="BO190" i="4"/>
  <c r="BO189" i="4"/>
  <c r="BN190" i="4"/>
  <c r="BN189" i="4"/>
  <c r="BM190" i="4"/>
  <c r="BM189" i="4"/>
  <c r="BH190" i="4"/>
  <c r="BH189" i="4"/>
  <c r="BG190" i="4"/>
  <c r="BG189" i="4"/>
  <c r="BF190" i="4"/>
  <c r="BF189" i="4"/>
  <c r="BE190" i="4"/>
  <c r="BE189" i="4"/>
  <c r="BD190" i="4"/>
  <c r="BD189" i="4"/>
  <c r="BC190" i="4"/>
  <c r="BC189" i="4"/>
  <c r="BB190" i="4"/>
  <c r="BB189" i="4"/>
  <c r="BA190" i="4"/>
  <c r="BA189" i="4"/>
  <c r="AZ190" i="4"/>
  <c r="AZ189" i="4"/>
  <c r="AY190" i="4"/>
  <c r="AY189" i="4"/>
  <c r="AX190" i="4"/>
  <c r="AX189" i="4"/>
  <c r="AW190" i="4"/>
  <c r="AW189" i="4"/>
  <c r="AV190" i="4"/>
  <c r="AV189" i="4"/>
  <c r="AT189" i="4"/>
  <c r="DZ189" i="4"/>
  <c r="AU190" i="4"/>
  <c r="AO189" i="4"/>
  <c r="AH189" i="4"/>
  <c r="DM189" i="4"/>
  <c r="BL190" i="4"/>
  <c r="BI189" i="4"/>
  <c r="AI190" i="4"/>
  <c r="AQ190" i="4"/>
  <c r="EB190" i="4"/>
  <c r="AL189" i="4"/>
  <c r="DQ189" i="4"/>
  <c r="AM190" i="4"/>
  <c r="AG189" i="4"/>
  <c r="DV189" i="4"/>
  <c r="BK190" i="4"/>
  <c r="DO190" i="4"/>
  <c r="AN190" i="4"/>
  <c r="AK189" i="4"/>
  <c r="AS189" i="4"/>
  <c r="DN189" i="4"/>
  <c r="EA190" i="4"/>
  <c r="BJ189" i="4"/>
  <c r="AJ190" i="4"/>
  <c r="AR190" i="4"/>
  <c r="AI189" i="4"/>
  <c r="AU189" i="4"/>
  <c r="BK189" i="4"/>
  <c r="DO189" i="4"/>
  <c r="EA189" i="4"/>
  <c r="AG190" i="4"/>
  <c r="AK190" i="4"/>
  <c r="AO190" i="4"/>
  <c r="AS190" i="4"/>
  <c r="BI190" i="4"/>
  <c r="DM190" i="4"/>
  <c r="DQ190" i="4"/>
  <c r="AM189" i="4"/>
  <c r="AN189" i="4"/>
  <c r="EB189" i="4"/>
  <c r="AH190" i="4"/>
  <c r="DV190" i="4"/>
  <c r="AQ189" i="4"/>
  <c r="AJ189" i="4"/>
  <c r="AR189" i="4"/>
  <c r="BL189" i="4"/>
  <c r="AL190" i="4"/>
  <c r="AT190" i="4"/>
  <c r="BJ190" i="4"/>
  <c r="DN190" i="4"/>
  <c r="DZ190" i="4"/>
  <c r="O20" i="8"/>
  <c r="N20" i="8"/>
  <c r="EL189" i="4" l="1"/>
  <c r="EL190" i="4"/>
  <c r="K95" i="15"/>
  <c r="K106" i="15"/>
  <c r="Q188" i="4"/>
  <c r="R188" i="4"/>
  <c r="P188" i="4"/>
  <c r="Q187" i="4"/>
  <c r="R187" i="4"/>
  <c r="P187" i="4"/>
  <c r="M187" i="4"/>
  <c r="AP189" i="4"/>
  <c r="O187" i="4"/>
  <c r="N187" i="4"/>
  <c r="S188" i="4"/>
  <c r="AA188" i="4"/>
  <c r="AA187" i="4"/>
  <c r="W187" i="4"/>
  <c r="AA190" i="4"/>
  <c r="Z190" i="4"/>
  <c r="Y190" i="4"/>
  <c r="L187" i="4"/>
  <c r="I187" i="4"/>
  <c r="H187" i="4"/>
  <c r="G187" i="4"/>
  <c r="D187" i="4"/>
  <c r="AF189" i="4"/>
  <c r="C187" i="4"/>
  <c r="AC187" i="4"/>
  <c r="AB187" i="4"/>
  <c r="DY189" i="4"/>
  <c r="AD187" i="4"/>
  <c r="S187" i="4"/>
  <c r="U189" i="4"/>
  <c r="T189" i="4"/>
  <c r="S189" i="4"/>
  <c r="U188" i="4"/>
  <c r="L188" i="4"/>
  <c r="I188" i="4"/>
  <c r="H188" i="4"/>
  <c r="G188" i="4"/>
  <c r="AF190" i="4"/>
  <c r="D188" i="4"/>
  <c r="C188" i="4"/>
  <c r="AC188" i="4"/>
  <c r="AB188" i="4"/>
  <c r="DY190" i="4"/>
  <c r="AD188" i="4"/>
  <c r="Z187" i="4"/>
  <c r="V187" i="4"/>
  <c r="V188" i="4"/>
  <c r="Y189" i="4"/>
  <c r="W188" i="4"/>
  <c r="U190" i="4"/>
  <c r="T190" i="4"/>
  <c r="S190" i="4"/>
  <c r="R190" i="4"/>
  <c r="Q190" i="4"/>
  <c r="P190" i="4"/>
  <c r="X188" i="4"/>
  <c r="AA189" i="4"/>
  <c r="R189" i="4"/>
  <c r="Q189" i="4"/>
  <c r="P189" i="4"/>
  <c r="Z189" i="4"/>
  <c r="Y187" i="4"/>
  <c r="M188" i="4"/>
  <c r="AP190" i="4"/>
  <c r="O188" i="4"/>
  <c r="N188" i="4"/>
  <c r="T188" i="4"/>
  <c r="Y188" i="4"/>
  <c r="U187" i="4"/>
  <c r="T187" i="4"/>
  <c r="X187" i="4"/>
  <c r="Z188" i="4"/>
  <c r="AD124" i="4"/>
  <c r="AC124" i="4"/>
  <c r="AB124" i="4"/>
  <c r="AA124" i="4"/>
  <c r="Z124" i="4"/>
  <c r="Y124" i="4"/>
  <c r="X124" i="4"/>
  <c r="W124" i="4"/>
  <c r="V124" i="4"/>
  <c r="U124" i="4"/>
  <c r="T124" i="4"/>
  <c r="S124" i="4"/>
  <c r="R124" i="4"/>
  <c r="Q124" i="4"/>
  <c r="P124" i="4"/>
  <c r="O124" i="4"/>
  <c r="N124" i="4"/>
  <c r="M124" i="4"/>
  <c r="L124" i="4"/>
  <c r="I124" i="4"/>
  <c r="H124" i="4"/>
  <c r="G124" i="4"/>
  <c r="D124" i="4"/>
  <c r="C124" i="4"/>
  <c r="F189" i="4" a="1"/>
  <c r="E189" i="4" a="1"/>
  <c r="E190" i="4" a="1"/>
  <c r="F190" i="4" a="1"/>
  <c r="V189" i="4" l="1"/>
  <c r="F190" i="4"/>
  <c r="F189" i="4"/>
  <c r="E190" i="4"/>
  <c r="E189" i="4"/>
  <c r="X190" i="4"/>
  <c r="V190" i="4"/>
  <c r="C190" i="4"/>
  <c r="D141" i="15"/>
  <c r="D140" i="15"/>
  <c r="D139" i="15"/>
  <c r="L190" i="4"/>
  <c r="D138" i="15"/>
  <c r="I190" i="4"/>
  <c r="H190" i="4"/>
  <c r="G190" i="4"/>
  <c r="D190" i="4"/>
  <c r="AD189" i="4"/>
  <c r="AC189" i="4"/>
  <c r="AB189" i="4"/>
  <c r="X189" i="4"/>
  <c r="O190" i="4"/>
  <c r="N190" i="4"/>
  <c r="M190" i="4"/>
  <c r="O189" i="4"/>
  <c r="N189" i="4"/>
  <c r="M189" i="4"/>
  <c r="AD190" i="4"/>
  <c r="AC190" i="4"/>
  <c r="AB190" i="4"/>
  <c r="W190" i="4"/>
  <c r="D132" i="15"/>
  <c r="C189" i="4"/>
  <c r="L189" i="4"/>
  <c r="I189" i="4"/>
  <c r="D135" i="15"/>
  <c r="H189" i="4"/>
  <c r="D134" i="15"/>
  <c r="G189" i="4"/>
  <c r="D133" i="15"/>
  <c r="D189" i="4"/>
  <c r="W189" i="4"/>
  <c r="AD112" i="4"/>
  <c r="AC112" i="4"/>
  <c r="AB112" i="4"/>
  <c r="AA112" i="4"/>
  <c r="Z112" i="4"/>
  <c r="Y112" i="4"/>
  <c r="X112" i="4"/>
  <c r="W112" i="4"/>
  <c r="V112" i="4"/>
  <c r="U112" i="4"/>
  <c r="T112" i="4"/>
  <c r="S112" i="4"/>
  <c r="R112" i="4"/>
  <c r="Q112" i="4"/>
  <c r="P112" i="4"/>
  <c r="O112" i="4"/>
  <c r="N112" i="4"/>
  <c r="M112" i="4"/>
  <c r="L112" i="4"/>
  <c r="I112" i="4"/>
  <c r="H112" i="4"/>
  <c r="G112" i="4"/>
  <c r="D112" i="4"/>
  <c r="C112" i="4"/>
  <c r="AD110" i="4"/>
  <c r="AC110" i="4"/>
  <c r="AB110" i="4"/>
  <c r="AA110" i="4"/>
  <c r="Z110" i="4"/>
  <c r="Y110" i="4"/>
  <c r="X110" i="4"/>
  <c r="W110" i="4"/>
  <c r="V110" i="4"/>
  <c r="U110" i="4"/>
  <c r="T110" i="4"/>
  <c r="S110" i="4"/>
  <c r="R110" i="4"/>
  <c r="Q110" i="4"/>
  <c r="P110" i="4"/>
  <c r="O110" i="4"/>
  <c r="N110" i="4"/>
  <c r="M110" i="4"/>
  <c r="L110" i="4"/>
  <c r="I110" i="4"/>
  <c r="H110" i="4"/>
  <c r="G110" i="4"/>
  <c r="D110" i="4"/>
  <c r="C110" i="4"/>
  <c r="AD114" i="4"/>
  <c r="AC114" i="4"/>
  <c r="AB114" i="4"/>
  <c r="AA114" i="4"/>
  <c r="Z114" i="4"/>
  <c r="Y114" i="4"/>
  <c r="X114" i="4"/>
  <c r="W114" i="4"/>
  <c r="V114" i="4"/>
  <c r="U114" i="4"/>
  <c r="T114" i="4"/>
  <c r="S114" i="4"/>
  <c r="R114" i="4"/>
  <c r="Q114" i="4"/>
  <c r="P114" i="4"/>
  <c r="O114" i="4"/>
  <c r="N114" i="4"/>
  <c r="M114" i="4"/>
  <c r="L114" i="4"/>
  <c r="I114" i="4"/>
  <c r="H114" i="4"/>
  <c r="G114" i="4"/>
  <c r="D114" i="4"/>
  <c r="C114" i="4"/>
  <c r="D142" i="15" l="1"/>
  <c r="D136" i="15"/>
  <c r="EL186" i="4"/>
  <c r="EK186" i="4"/>
  <c r="EJ186" i="4"/>
  <c r="EI186" i="4"/>
  <c r="EH186" i="4"/>
  <c r="EG186" i="4"/>
  <c r="EF186" i="4"/>
  <c r="EE186" i="4"/>
  <c r="ED186" i="4"/>
  <c r="EC186" i="4"/>
  <c r="EB186" i="4"/>
  <c r="EA186" i="4"/>
  <c r="DZ186" i="4"/>
  <c r="DY186" i="4"/>
  <c r="DX186" i="4"/>
  <c r="DW186" i="4"/>
  <c r="DV186" i="4"/>
  <c r="DU186" i="4"/>
  <c r="DT186" i="4"/>
  <c r="DS186" i="4"/>
  <c r="DR186" i="4"/>
  <c r="DQ186" i="4"/>
  <c r="DP186" i="4"/>
  <c r="DO186" i="4"/>
  <c r="DN186" i="4"/>
  <c r="DM186" i="4"/>
  <c r="DL186" i="4"/>
  <c r="DK186" i="4"/>
  <c r="DJ186" i="4"/>
  <c r="DI186" i="4"/>
  <c r="DH186" i="4"/>
  <c r="DG186" i="4"/>
  <c r="DF186" i="4"/>
  <c r="DE186" i="4"/>
  <c r="DD186" i="4"/>
  <c r="DC186" i="4"/>
  <c r="DB186" i="4"/>
  <c r="DA186" i="4"/>
  <c r="CZ186" i="4"/>
  <c r="CY186" i="4"/>
  <c r="CX186" i="4"/>
  <c r="CW186" i="4"/>
  <c r="CV186" i="4"/>
  <c r="CU186" i="4"/>
  <c r="CT186" i="4"/>
  <c r="CS186" i="4"/>
  <c r="CR186" i="4"/>
  <c r="CQ186" i="4"/>
  <c r="CP186" i="4"/>
  <c r="CO186" i="4"/>
  <c r="CN186" i="4"/>
  <c r="CM186" i="4"/>
  <c r="CL186" i="4"/>
  <c r="CK186" i="4"/>
  <c r="CJ186" i="4"/>
  <c r="CI186" i="4"/>
  <c r="CH186" i="4"/>
  <c r="CG186" i="4"/>
  <c r="CF186" i="4"/>
  <c r="CE186" i="4"/>
  <c r="CD186" i="4"/>
  <c r="CC186" i="4"/>
  <c r="CB186" i="4"/>
  <c r="CA186" i="4"/>
  <c r="BZ186" i="4"/>
  <c r="BY186" i="4"/>
  <c r="BX186" i="4"/>
  <c r="BW186" i="4"/>
  <c r="BV186" i="4"/>
  <c r="BU186" i="4"/>
  <c r="BT186" i="4"/>
  <c r="BS186" i="4"/>
  <c r="BR186" i="4"/>
  <c r="BQ186" i="4"/>
  <c r="BP186" i="4"/>
  <c r="BO186" i="4"/>
  <c r="BN186" i="4"/>
  <c r="BM186" i="4"/>
  <c r="BL186" i="4"/>
  <c r="BK186" i="4"/>
  <c r="BJ186" i="4"/>
  <c r="BI186" i="4"/>
  <c r="BH186" i="4"/>
  <c r="BG186" i="4"/>
  <c r="BF186" i="4"/>
  <c r="BE186" i="4"/>
  <c r="BD186" i="4"/>
  <c r="BC186" i="4"/>
  <c r="BB186" i="4"/>
  <c r="BA186" i="4"/>
  <c r="AZ186" i="4"/>
  <c r="AY186" i="4"/>
  <c r="AX186" i="4"/>
  <c r="AW186" i="4"/>
  <c r="AV186" i="4"/>
  <c r="AU186" i="4"/>
  <c r="AT186" i="4"/>
  <c r="AS186" i="4"/>
  <c r="AR186" i="4"/>
  <c r="AQ186" i="4"/>
  <c r="AP186" i="4"/>
  <c r="AO186" i="4"/>
  <c r="AN186" i="4"/>
  <c r="AM186" i="4"/>
  <c r="AL186" i="4"/>
  <c r="AK186" i="4"/>
  <c r="AJ186" i="4"/>
  <c r="AI186" i="4"/>
  <c r="AH186" i="4"/>
  <c r="AG186" i="4"/>
  <c r="EL185" i="4"/>
  <c r="EK185" i="4"/>
  <c r="EJ185" i="4"/>
  <c r="EI185" i="4"/>
  <c r="EH185" i="4"/>
  <c r="EG185" i="4"/>
  <c r="EF185" i="4"/>
  <c r="EE185" i="4"/>
  <c r="ED185" i="4"/>
  <c r="EC185" i="4"/>
  <c r="EB185" i="4"/>
  <c r="EA185" i="4"/>
  <c r="DZ185" i="4"/>
  <c r="DY185" i="4"/>
  <c r="DX185" i="4"/>
  <c r="DW185" i="4"/>
  <c r="DV185" i="4"/>
  <c r="DU185" i="4"/>
  <c r="DT185" i="4"/>
  <c r="DS185" i="4"/>
  <c r="DR185" i="4"/>
  <c r="DQ185" i="4"/>
  <c r="DP185" i="4"/>
  <c r="DO185" i="4"/>
  <c r="DN185" i="4"/>
  <c r="DM185" i="4"/>
  <c r="DL185" i="4"/>
  <c r="DK185" i="4"/>
  <c r="DJ185" i="4"/>
  <c r="DI185" i="4"/>
  <c r="DH185" i="4"/>
  <c r="DG185" i="4"/>
  <c r="DF185" i="4"/>
  <c r="DE185" i="4"/>
  <c r="DD185" i="4"/>
  <c r="DC185" i="4"/>
  <c r="DB185" i="4"/>
  <c r="DA185" i="4"/>
  <c r="CZ185" i="4"/>
  <c r="CY185" i="4"/>
  <c r="CX185" i="4"/>
  <c r="CW185" i="4"/>
  <c r="CV185" i="4"/>
  <c r="CU185" i="4"/>
  <c r="CT185" i="4"/>
  <c r="CS185" i="4"/>
  <c r="CR185" i="4"/>
  <c r="CQ185" i="4"/>
  <c r="CP185" i="4"/>
  <c r="CO185" i="4"/>
  <c r="CN185" i="4"/>
  <c r="CM185" i="4"/>
  <c r="CL185" i="4"/>
  <c r="CK185" i="4"/>
  <c r="CJ185" i="4"/>
  <c r="CI185" i="4"/>
  <c r="CH185" i="4"/>
  <c r="CG185" i="4"/>
  <c r="CF185" i="4"/>
  <c r="CE185" i="4"/>
  <c r="CD185" i="4"/>
  <c r="CC185" i="4"/>
  <c r="CB185" i="4"/>
  <c r="CA185" i="4"/>
  <c r="BZ185" i="4"/>
  <c r="BY185" i="4"/>
  <c r="BX185" i="4"/>
  <c r="BW185" i="4"/>
  <c r="BV185" i="4"/>
  <c r="BU185" i="4"/>
  <c r="BT185" i="4"/>
  <c r="BS185" i="4"/>
  <c r="BR185" i="4"/>
  <c r="BQ185" i="4"/>
  <c r="BP185" i="4"/>
  <c r="BO185" i="4"/>
  <c r="BN185" i="4"/>
  <c r="BM185" i="4"/>
  <c r="BL185" i="4"/>
  <c r="BK185" i="4"/>
  <c r="BJ185" i="4"/>
  <c r="BI185" i="4"/>
  <c r="BH185" i="4"/>
  <c r="BG185" i="4"/>
  <c r="BF185" i="4"/>
  <c r="BE185" i="4"/>
  <c r="BD185" i="4"/>
  <c r="BC185" i="4"/>
  <c r="BB185" i="4"/>
  <c r="BA185" i="4"/>
  <c r="AZ185" i="4"/>
  <c r="AY185" i="4"/>
  <c r="AX185" i="4"/>
  <c r="AW185" i="4"/>
  <c r="AV185" i="4"/>
  <c r="AU185" i="4"/>
  <c r="AT185" i="4"/>
  <c r="AS185" i="4"/>
  <c r="AR185" i="4"/>
  <c r="AQ185" i="4"/>
  <c r="AP185" i="4"/>
  <c r="AO185" i="4"/>
  <c r="AN185" i="4"/>
  <c r="AM185" i="4"/>
  <c r="AL185" i="4"/>
  <c r="AK185" i="4"/>
  <c r="AJ185" i="4"/>
  <c r="AI185" i="4"/>
  <c r="AH185" i="4"/>
  <c r="AG185" i="4"/>
  <c r="AF186" i="4"/>
  <c r="AF185" i="4"/>
  <c r="AD155" i="4"/>
  <c r="AC155" i="4"/>
  <c r="AB155" i="4"/>
  <c r="AA155" i="4"/>
  <c r="Z155" i="4"/>
  <c r="Y155" i="4"/>
  <c r="X155" i="4"/>
  <c r="W155" i="4"/>
  <c r="V155" i="4"/>
  <c r="U155" i="4"/>
  <c r="T155" i="4"/>
  <c r="S155" i="4"/>
  <c r="R155" i="4"/>
  <c r="Q155" i="4"/>
  <c r="P155" i="4"/>
  <c r="O155" i="4"/>
  <c r="N155" i="4"/>
  <c r="M155" i="4"/>
  <c r="L155" i="4"/>
  <c r="I155" i="4"/>
  <c r="H155" i="4"/>
  <c r="G155" i="4"/>
  <c r="D155" i="4"/>
  <c r="C155" i="4"/>
  <c r="AD154" i="4"/>
  <c r="AC154" i="4"/>
  <c r="AB154" i="4"/>
  <c r="AA154" i="4"/>
  <c r="Z154" i="4"/>
  <c r="Y154" i="4"/>
  <c r="X154" i="4"/>
  <c r="W154" i="4"/>
  <c r="V154" i="4"/>
  <c r="U154" i="4"/>
  <c r="T154" i="4"/>
  <c r="S154" i="4"/>
  <c r="R154" i="4"/>
  <c r="Q154" i="4"/>
  <c r="P154" i="4"/>
  <c r="O154" i="4"/>
  <c r="N154" i="4"/>
  <c r="M154" i="4"/>
  <c r="L154" i="4"/>
  <c r="I154" i="4"/>
  <c r="H154" i="4"/>
  <c r="G154" i="4"/>
  <c r="D154" i="4"/>
  <c r="C154" i="4"/>
  <c r="AD153" i="4"/>
  <c r="AC153" i="4"/>
  <c r="AB153" i="4"/>
  <c r="AA153" i="4"/>
  <c r="Z153" i="4"/>
  <c r="Y153" i="4"/>
  <c r="X153" i="4"/>
  <c r="W153" i="4"/>
  <c r="V153" i="4"/>
  <c r="U153" i="4"/>
  <c r="T153" i="4"/>
  <c r="S153" i="4"/>
  <c r="R153" i="4"/>
  <c r="Q153" i="4"/>
  <c r="P153" i="4"/>
  <c r="O153" i="4"/>
  <c r="N153" i="4"/>
  <c r="M153" i="4"/>
  <c r="L153" i="4"/>
  <c r="I153" i="4"/>
  <c r="H153" i="4"/>
  <c r="G153" i="4"/>
  <c r="D153" i="4"/>
  <c r="C153" i="4"/>
  <c r="AD152" i="4"/>
  <c r="AC152" i="4"/>
  <c r="AB152" i="4"/>
  <c r="AA152" i="4"/>
  <c r="Z152" i="4"/>
  <c r="Y152" i="4"/>
  <c r="X152" i="4"/>
  <c r="W152" i="4"/>
  <c r="V152" i="4"/>
  <c r="U152" i="4"/>
  <c r="T152" i="4"/>
  <c r="S152" i="4"/>
  <c r="R152" i="4"/>
  <c r="Q152" i="4"/>
  <c r="P152" i="4"/>
  <c r="O152" i="4"/>
  <c r="N152" i="4"/>
  <c r="M152" i="4"/>
  <c r="L152" i="4"/>
  <c r="I152" i="4"/>
  <c r="H152" i="4"/>
  <c r="G152" i="4"/>
  <c r="D152" i="4"/>
  <c r="C152" i="4"/>
  <c r="D123" i="15" l="1"/>
  <c r="D122" i="15"/>
  <c r="D126" i="15"/>
  <c r="D125" i="15"/>
  <c r="EL184" i="4"/>
  <c r="EK184" i="4"/>
  <c r="EJ184" i="4"/>
  <c r="EI184" i="4"/>
  <c r="EH184" i="4"/>
  <c r="EG184" i="4"/>
  <c r="EF184" i="4"/>
  <c r="EE184" i="4"/>
  <c r="ED184" i="4"/>
  <c r="EC184" i="4"/>
  <c r="EB184" i="4"/>
  <c r="EA184" i="4"/>
  <c r="DZ184" i="4"/>
  <c r="DY184" i="4"/>
  <c r="DX184" i="4"/>
  <c r="DW184" i="4"/>
  <c r="DV184" i="4"/>
  <c r="DU184" i="4"/>
  <c r="DT184" i="4"/>
  <c r="DS184" i="4"/>
  <c r="DR184" i="4"/>
  <c r="DQ184" i="4"/>
  <c r="DP184" i="4"/>
  <c r="DO184" i="4"/>
  <c r="DN184" i="4"/>
  <c r="DM184" i="4"/>
  <c r="DL184" i="4"/>
  <c r="DK184" i="4"/>
  <c r="DJ184" i="4"/>
  <c r="DI184" i="4"/>
  <c r="DH184" i="4"/>
  <c r="DG184" i="4"/>
  <c r="DF184" i="4"/>
  <c r="DE184" i="4"/>
  <c r="DD184" i="4"/>
  <c r="DC184" i="4"/>
  <c r="DB184" i="4"/>
  <c r="DA184" i="4"/>
  <c r="CZ184" i="4"/>
  <c r="CY184" i="4"/>
  <c r="CX184" i="4"/>
  <c r="CW184" i="4"/>
  <c r="CV184" i="4"/>
  <c r="CU184" i="4"/>
  <c r="CT184" i="4"/>
  <c r="CS184" i="4"/>
  <c r="CR184" i="4"/>
  <c r="CQ184" i="4"/>
  <c r="CP184" i="4"/>
  <c r="CO184" i="4"/>
  <c r="CN184" i="4"/>
  <c r="CM184" i="4"/>
  <c r="CL184" i="4"/>
  <c r="CK184" i="4"/>
  <c r="CJ184" i="4"/>
  <c r="CI184" i="4"/>
  <c r="CH184" i="4"/>
  <c r="CG184" i="4"/>
  <c r="CF184" i="4"/>
  <c r="CE184" i="4"/>
  <c r="CD184" i="4"/>
  <c r="CC184" i="4"/>
  <c r="CB184" i="4"/>
  <c r="CA184" i="4"/>
  <c r="BZ184" i="4"/>
  <c r="BY184" i="4"/>
  <c r="BX184" i="4"/>
  <c r="BW184" i="4"/>
  <c r="BV184" i="4"/>
  <c r="BU184" i="4"/>
  <c r="BT184" i="4"/>
  <c r="BS184" i="4"/>
  <c r="BR184" i="4"/>
  <c r="BQ184" i="4"/>
  <c r="BP184" i="4"/>
  <c r="BO184" i="4"/>
  <c r="BN184" i="4"/>
  <c r="BM184" i="4"/>
  <c r="BL184" i="4"/>
  <c r="BK184" i="4"/>
  <c r="BJ184" i="4"/>
  <c r="BI184" i="4"/>
  <c r="BH184" i="4"/>
  <c r="BG184" i="4"/>
  <c r="BF184" i="4"/>
  <c r="BE184" i="4"/>
  <c r="BD184" i="4"/>
  <c r="BC184" i="4"/>
  <c r="BB184" i="4"/>
  <c r="BA184" i="4"/>
  <c r="AZ184" i="4"/>
  <c r="AY184" i="4"/>
  <c r="AX184" i="4"/>
  <c r="AW184" i="4"/>
  <c r="AV184" i="4"/>
  <c r="AU184" i="4"/>
  <c r="AT184" i="4"/>
  <c r="AS184" i="4"/>
  <c r="AR184" i="4"/>
  <c r="AQ184" i="4"/>
  <c r="AP184" i="4"/>
  <c r="AO184" i="4"/>
  <c r="AN184" i="4"/>
  <c r="AM184" i="4"/>
  <c r="AL184" i="4"/>
  <c r="AK184" i="4"/>
  <c r="AJ184" i="4"/>
  <c r="AI184" i="4"/>
  <c r="AH184" i="4"/>
  <c r="AG184" i="4"/>
  <c r="EL183" i="4"/>
  <c r="EK183" i="4"/>
  <c r="EJ183" i="4"/>
  <c r="EI183" i="4"/>
  <c r="EH183" i="4"/>
  <c r="EG183" i="4"/>
  <c r="EF183" i="4"/>
  <c r="EE183" i="4"/>
  <c r="ED183" i="4"/>
  <c r="EC183" i="4"/>
  <c r="EB183" i="4"/>
  <c r="EA183" i="4"/>
  <c r="DZ183" i="4"/>
  <c r="DY183" i="4"/>
  <c r="DX183" i="4"/>
  <c r="DW183" i="4"/>
  <c r="DV183" i="4"/>
  <c r="DU183" i="4"/>
  <c r="DT183" i="4"/>
  <c r="DS183" i="4"/>
  <c r="DR183" i="4"/>
  <c r="DQ183" i="4"/>
  <c r="DP183" i="4"/>
  <c r="DO183" i="4"/>
  <c r="DN183" i="4"/>
  <c r="DM183" i="4"/>
  <c r="DL183" i="4"/>
  <c r="DK183" i="4"/>
  <c r="DJ183" i="4"/>
  <c r="DI183" i="4"/>
  <c r="DH183" i="4"/>
  <c r="DG183" i="4"/>
  <c r="DF183" i="4"/>
  <c r="DE183" i="4"/>
  <c r="DD183" i="4"/>
  <c r="DC183" i="4"/>
  <c r="DB183" i="4"/>
  <c r="DA183" i="4"/>
  <c r="CZ183" i="4"/>
  <c r="CY183" i="4"/>
  <c r="CX183" i="4"/>
  <c r="CW183" i="4"/>
  <c r="CV183" i="4"/>
  <c r="CU183" i="4"/>
  <c r="CT183" i="4"/>
  <c r="CS183" i="4"/>
  <c r="CR183" i="4"/>
  <c r="CQ183" i="4"/>
  <c r="CP183" i="4"/>
  <c r="CO183" i="4"/>
  <c r="CN183" i="4"/>
  <c r="CM183" i="4"/>
  <c r="CL183" i="4"/>
  <c r="CK183" i="4"/>
  <c r="CJ183" i="4"/>
  <c r="CI183" i="4"/>
  <c r="CH183" i="4"/>
  <c r="CG183" i="4"/>
  <c r="CF183" i="4"/>
  <c r="CE183" i="4"/>
  <c r="CD183" i="4"/>
  <c r="CC183" i="4"/>
  <c r="CB183" i="4"/>
  <c r="CA183" i="4"/>
  <c r="BZ183" i="4"/>
  <c r="BY183" i="4"/>
  <c r="BX183" i="4"/>
  <c r="BW183" i="4"/>
  <c r="BV183" i="4"/>
  <c r="BU183" i="4"/>
  <c r="BT183" i="4"/>
  <c r="BS183" i="4"/>
  <c r="BR183" i="4"/>
  <c r="BQ183" i="4"/>
  <c r="BP183" i="4"/>
  <c r="BO183" i="4"/>
  <c r="BN183" i="4"/>
  <c r="BM183" i="4"/>
  <c r="BL183" i="4"/>
  <c r="BK183" i="4"/>
  <c r="BJ183" i="4"/>
  <c r="BI183" i="4"/>
  <c r="BH183" i="4"/>
  <c r="BG183" i="4"/>
  <c r="BF183" i="4"/>
  <c r="BE183" i="4"/>
  <c r="BD183" i="4"/>
  <c r="BC183" i="4"/>
  <c r="BB183" i="4"/>
  <c r="BA183" i="4"/>
  <c r="AZ183" i="4"/>
  <c r="AY183" i="4"/>
  <c r="AX183" i="4"/>
  <c r="AW183" i="4"/>
  <c r="AV183" i="4"/>
  <c r="AU183" i="4"/>
  <c r="AT183" i="4"/>
  <c r="AS183" i="4"/>
  <c r="AR183" i="4"/>
  <c r="AQ183" i="4"/>
  <c r="AP183" i="4"/>
  <c r="AO183" i="4"/>
  <c r="AN183" i="4"/>
  <c r="AM183" i="4"/>
  <c r="AL183" i="4"/>
  <c r="AK183" i="4"/>
  <c r="AJ183" i="4"/>
  <c r="AI183" i="4"/>
  <c r="AH183" i="4"/>
  <c r="AG183" i="4"/>
  <c r="AE184" i="4"/>
  <c r="AE183" i="4"/>
  <c r="D114" i="15" l="1"/>
  <c r="N123" i="15" s="1"/>
  <c r="D117" i="15"/>
  <c r="N126" i="15" s="1"/>
  <c r="D116" i="15"/>
  <c r="N125" i="15" s="1"/>
  <c r="D113" i="15"/>
  <c r="N122" i="15" s="1"/>
  <c r="EL172" i="4"/>
  <c r="EL174" i="4" s="1"/>
  <c r="EK172" i="4"/>
  <c r="EK174" i="4" s="1"/>
  <c r="EJ172" i="4"/>
  <c r="EJ174" i="4" s="1"/>
  <c r="EI172" i="4"/>
  <c r="EI174" i="4" s="1"/>
  <c r="EH172" i="4"/>
  <c r="EH174" i="4" s="1"/>
  <c r="EG172" i="4"/>
  <c r="EG174" i="4" s="1"/>
  <c r="EF172" i="4"/>
  <c r="EF174" i="4" s="1"/>
  <c r="EE172" i="4"/>
  <c r="EE174" i="4" s="1"/>
  <c r="ED172" i="4"/>
  <c r="ED174" i="4" s="1"/>
  <c r="EC172" i="4"/>
  <c r="EC174" i="4" s="1"/>
  <c r="EB172" i="4"/>
  <c r="EB174" i="4" s="1"/>
  <c r="EA172" i="4"/>
  <c r="EA174" i="4" s="1"/>
  <c r="DZ172" i="4"/>
  <c r="DZ174" i="4" s="1"/>
  <c r="DY172" i="4"/>
  <c r="DY174" i="4" s="1"/>
  <c r="DX172" i="4"/>
  <c r="DX174" i="4" s="1"/>
  <c r="DW172" i="4"/>
  <c r="DW174" i="4" s="1"/>
  <c r="DV172" i="4"/>
  <c r="DV174" i="4" s="1"/>
  <c r="DU172" i="4"/>
  <c r="DU174" i="4" s="1"/>
  <c r="DT172" i="4"/>
  <c r="DT174" i="4" s="1"/>
  <c r="DS172" i="4"/>
  <c r="DS174" i="4" s="1"/>
  <c r="DR172" i="4"/>
  <c r="DR174" i="4" s="1"/>
  <c r="DQ172" i="4"/>
  <c r="DQ174" i="4" s="1"/>
  <c r="DP172" i="4"/>
  <c r="DP174" i="4" s="1"/>
  <c r="DO172" i="4"/>
  <c r="DO174" i="4" s="1"/>
  <c r="DN172" i="4"/>
  <c r="DN174" i="4" s="1"/>
  <c r="DM172" i="4"/>
  <c r="DM174" i="4" s="1"/>
  <c r="DL172" i="4"/>
  <c r="DL174" i="4" s="1"/>
  <c r="DK172" i="4"/>
  <c r="DK174" i="4" s="1"/>
  <c r="DJ172" i="4"/>
  <c r="DJ174" i="4" s="1"/>
  <c r="DI172" i="4"/>
  <c r="DI174" i="4" s="1"/>
  <c r="DH172" i="4"/>
  <c r="DH174" i="4" s="1"/>
  <c r="DG172" i="4"/>
  <c r="DG174" i="4" s="1"/>
  <c r="DF172" i="4"/>
  <c r="DF174" i="4" s="1"/>
  <c r="DE172" i="4"/>
  <c r="DE174" i="4" s="1"/>
  <c r="DD172" i="4"/>
  <c r="DD174" i="4" s="1"/>
  <c r="DC172" i="4"/>
  <c r="DC174" i="4" s="1"/>
  <c r="DB172" i="4"/>
  <c r="DB174" i="4" s="1"/>
  <c r="DA172" i="4"/>
  <c r="DA174" i="4" s="1"/>
  <c r="CZ172" i="4"/>
  <c r="CZ174" i="4" s="1"/>
  <c r="CY172" i="4"/>
  <c r="CY174" i="4" s="1"/>
  <c r="CX172" i="4"/>
  <c r="CX174" i="4" s="1"/>
  <c r="CW172" i="4"/>
  <c r="CW174" i="4" s="1"/>
  <c r="CV172" i="4"/>
  <c r="CV174" i="4" s="1"/>
  <c r="CU172" i="4"/>
  <c r="CU174" i="4" s="1"/>
  <c r="CT172" i="4"/>
  <c r="CT174" i="4" s="1"/>
  <c r="CS172" i="4"/>
  <c r="CS174" i="4" s="1"/>
  <c r="CR172" i="4"/>
  <c r="CR174" i="4" s="1"/>
  <c r="CQ172" i="4"/>
  <c r="CQ174" i="4" s="1"/>
  <c r="CP172" i="4"/>
  <c r="CP174" i="4" s="1"/>
  <c r="CO172" i="4"/>
  <c r="CO174" i="4" s="1"/>
  <c r="CN172" i="4"/>
  <c r="CN174" i="4" s="1"/>
  <c r="CM172" i="4"/>
  <c r="CM174" i="4" s="1"/>
  <c r="CL172" i="4"/>
  <c r="CL174" i="4" s="1"/>
  <c r="CK172" i="4"/>
  <c r="CK174" i="4" s="1"/>
  <c r="CJ172" i="4"/>
  <c r="CJ174" i="4" s="1"/>
  <c r="CI172" i="4"/>
  <c r="CI174" i="4" s="1"/>
  <c r="CH172" i="4"/>
  <c r="CH174" i="4" s="1"/>
  <c r="CG172" i="4"/>
  <c r="CG174" i="4" s="1"/>
  <c r="CF172" i="4"/>
  <c r="CF174" i="4" s="1"/>
  <c r="CE172" i="4"/>
  <c r="CE174" i="4" s="1"/>
  <c r="CD172" i="4"/>
  <c r="CD174" i="4" s="1"/>
  <c r="CC172" i="4"/>
  <c r="CC174" i="4" s="1"/>
  <c r="CB172" i="4"/>
  <c r="CB174" i="4" s="1"/>
  <c r="CA172" i="4"/>
  <c r="CA174" i="4" s="1"/>
  <c r="BZ172" i="4"/>
  <c r="BZ174" i="4" s="1"/>
  <c r="BY172" i="4"/>
  <c r="BY174" i="4" s="1"/>
  <c r="BX172" i="4"/>
  <c r="BX174" i="4" s="1"/>
  <c r="BW172" i="4"/>
  <c r="BW174" i="4" s="1"/>
  <c r="BV172" i="4"/>
  <c r="BV174" i="4" s="1"/>
  <c r="BU172" i="4"/>
  <c r="BU174" i="4" s="1"/>
  <c r="BT172" i="4"/>
  <c r="BT174" i="4" s="1"/>
  <c r="BS172" i="4"/>
  <c r="BS174" i="4" s="1"/>
  <c r="BR172" i="4"/>
  <c r="BR174" i="4" s="1"/>
  <c r="BQ172" i="4"/>
  <c r="BQ174" i="4" s="1"/>
  <c r="BP172" i="4"/>
  <c r="BP174" i="4" s="1"/>
  <c r="BO172" i="4"/>
  <c r="BO174" i="4" s="1"/>
  <c r="BN172" i="4"/>
  <c r="BN174" i="4" s="1"/>
  <c r="BM172" i="4"/>
  <c r="BM174" i="4" s="1"/>
  <c r="BL172" i="4"/>
  <c r="BL174" i="4" s="1"/>
  <c r="BK172" i="4"/>
  <c r="BK174" i="4" s="1"/>
  <c r="BJ172" i="4"/>
  <c r="BJ174" i="4" s="1"/>
  <c r="BI172" i="4"/>
  <c r="BI174" i="4" s="1"/>
  <c r="BH172" i="4"/>
  <c r="BH174" i="4" s="1"/>
  <c r="BG172" i="4"/>
  <c r="BG174" i="4" s="1"/>
  <c r="BF172" i="4"/>
  <c r="BF174" i="4" s="1"/>
  <c r="BE172" i="4"/>
  <c r="BE174" i="4" s="1"/>
  <c r="BD172" i="4"/>
  <c r="BD174" i="4" s="1"/>
  <c r="BC172" i="4"/>
  <c r="BC174" i="4" s="1"/>
  <c r="BB172" i="4"/>
  <c r="BB174" i="4" s="1"/>
  <c r="BA172" i="4"/>
  <c r="BA174" i="4" s="1"/>
  <c r="AZ172" i="4"/>
  <c r="AZ174" i="4" s="1"/>
  <c r="AY172" i="4"/>
  <c r="AY174" i="4" s="1"/>
  <c r="AX172" i="4"/>
  <c r="AX174" i="4" s="1"/>
  <c r="AW172" i="4"/>
  <c r="AW174" i="4" s="1"/>
  <c r="AV172" i="4"/>
  <c r="AV174" i="4" s="1"/>
  <c r="AU172" i="4"/>
  <c r="AU174" i="4" s="1"/>
  <c r="AT172" i="4"/>
  <c r="AT174" i="4" s="1"/>
  <c r="AS172" i="4"/>
  <c r="AS174" i="4" s="1"/>
  <c r="AR172" i="4"/>
  <c r="AR174" i="4" s="1"/>
  <c r="AQ172" i="4"/>
  <c r="AQ174" i="4" s="1"/>
  <c r="AP172" i="4"/>
  <c r="AP174" i="4" s="1"/>
  <c r="AO172" i="4"/>
  <c r="AO174" i="4" s="1"/>
  <c r="AN172" i="4"/>
  <c r="AN174" i="4" s="1"/>
  <c r="AM172" i="4"/>
  <c r="AM174" i="4" s="1"/>
  <c r="AL172" i="4"/>
  <c r="AL174" i="4" s="1"/>
  <c r="AK172" i="4"/>
  <c r="AK174" i="4" s="1"/>
  <c r="AJ172" i="4"/>
  <c r="AJ174" i="4" s="1"/>
  <c r="AI172" i="4"/>
  <c r="AI174" i="4" s="1"/>
  <c r="AH172" i="4"/>
  <c r="AH174" i="4" s="1"/>
  <c r="AG172" i="4"/>
  <c r="AG174" i="4" s="1"/>
  <c r="EL171" i="4"/>
  <c r="EL173" i="4" s="1"/>
  <c r="EK171" i="4"/>
  <c r="EK173" i="4" s="1"/>
  <c r="EJ171" i="4"/>
  <c r="EJ173" i="4" s="1"/>
  <c r="EI171" i="4"/>
  <c r="EI173" i="4" s="1"/>
  <c r="EH171" i="4"/>
  <c r="EH173" i="4" s="1"/>
  <c r="EG171" i="4"/>
  <c r="EG173" i="4" s="1"/>
  <c r="EF171" i="4"/>
  <c r="EF173" i="4" s="1"/>
  <c r="EE171" i="4"/>
  <c r="EE173" i="4" s="1"/>
  <c r="ED171" i="4"/>
  <c r="ED173" i="4" s="1"/>
  <c r="EC171" i="4"/>
  <c r="EC173" i="4" s="1"/>
  <c r="EB171" i="4"/>
  <c r="EB173" i="4" s="1"/>
  <c r="EA171" i="4"/>
  <c r="EA173" i="4" s="1"/>
  <c r="DZ171" i="4"/>
  <c r="DZ173" i="4" s="1"/>
  <c r="DY171" i="4"/>
  <c r="DY173" i="4" s="1"/>
  <c r="DX171" i="4"/>
  <c r="DX173" i="4" s="1"/>
  <c r="DW171" i="4"/>
  <c r="DW173" i="4" s="1"/>
  <c r="DV171" i="4"/>
  <c r="DV173" i="4" s="1"/>
  <c r="DU171" i="4"/>
  <c r="DU173" i="4" s="1"/>
  <c r="DT171" i="4"/>
  <c r="DT173" i="4" s="1"/>
  <c r="DS171" i="4"/>
  <c r="DS173" i="4" s="1"/>
  <c r="DR171" i="4"/>
  <c r="DR173" i="4" s="1"/>
  <c r="DQ171" i="4"/>
  <c r="DQ173" i="4" s="1"/>
  <c r="DP171" i="4"/>
  <c r="DP173" i="4" s="1"/>
  <c r="DO171" i="4"/>
  <c r="DO173" i="4" s="1"/>
  <c r="DN171" i="4"/>
  <c r="DN173" i="4" s="1"/>
  <c r="DM171" i="4"/>
  <c r="DM173" i="4" s="1"/>
  <c r="DL171" i="4"/>
  <c r="DL173" i="4" s="1"/>
  <c r="DK171" i="4"/>
  <c r="DK173" i="4" s="1"/>
  <c r="DJ171" i="4"/>
  <c r="DJ173" i="4" s="1"/>
  <c r="DI171" i="4"/>
  <c r="DI173" i="4" s="1"/>
  <c r="DH171" i="4"/>
  <c r="DH173" i="4" s="1"/>
  <c r="DG171" i="4"/>
  <c r="DG173" i="4" s="1"/>
  <c r="DF171" i="4"/>
  <c r="DF173" i="4" s="1"/>
  <c r="DE171" i="4"/>
  <c r="DE173" i="4" s="1"/>
  <c r="DD171" i="4"/>
  <c r="DD173" i="4" s="1"/>
  <c r="DC171" i="4"/>
  <c r="DC173" i="4" s="1"/>
  <c r="DB171" i="4"/>
  <c r="DB173" i="4" s="1"/>
  <c r="DA171" i="4"/>
  <c r="DA173" i="4" s="1"/>
  <c r="CZ171" i="4"/>
  <c r="CZ173" i="4" s="1"/>
  <c r="CY171" i="4"/>
  <c r="CY173" i="4" s="1"/>
  <c r="CX171" i="4"/>
  <c r="CX173" i="4" s="1"/>
  <c r="CW171" i="4"/>
  <c r="CW173" i="4" s="1"/>
  <c r="CV171" i="4"/>
  <c r="CV173" i="4" s="1"/>
  <c r="CU171" i="4"/>
  <c r="CU173" i="4" s="1"/>
  <c r="CT171" i="4"/>
  <c r="CT173" i="4" s="1"/>
  <c r="CS171" i="4"/>
  <c r="CS173" i="4" s="1"/>
  <c r="CR171" i="4"/>
  <c r="CR173" i="4" s="1"/>
  <c r="CQ171" i="4"/>
  <c r="CQ173" i="4" s="1"/>
  <c r="CP171" i="4"/>
  <c r="CP173" i="4" s="1"/>
  <c r="CO171" i="4"/>
  <c r="CO173" i="4" s="1"/>
  <c r="CN171" i="4"/>
  <c r="CN173" i="4" s="1"/>
  <c r="CM171" i="4"/>
  <c r="CM173" i="4" s="1"/>
  <c r="CL171" i="4"/>
  <c r="CL173" i="4" s="1"/>
  <c r="CK171" i="4"/>
  <c r="CK173" i="4" s="1"/>
  <c r="CJ171" i="4"/>
  <c r="CJ173" i="4" s="1"/>
  <c r="CI171" i="4"/>
  <c r="CI173" i="4" s="1"/>
  <c r="CH171" i="4"/>
  <c r="CH173" i="4" s="1"/>
  <c r="CG171" i="4"/>
  <c r="CG173" i="4" s="1"/>
  <c r="CF171" i="4"/>
  <c r="CF173" i="4" s="1"/>
  <c r="CE171" i="4"/>
  <c r="CE173" i="4" s="1"/>
  <c r="CD171" i="4"/>
  <c r="CD173" i="4" s="1"/>
  <c r="CC171" i="4"/>
  <c r="CC173" i="4" s="1"/>
  <c r="CB171" i="4"/>
  <c r="CB173" i="4" s="1"/>
  <c r="CA171" i="4"/>
  <c r="CA173" i="4" s="1"/>
  <c r="BZ171" i="4"/>
  <c r="BZ173" i="4" s="1"/>
  <c r="BY171" i="4"/>
  <c r="BY173" i="4" s="1"/>
  <c r="BX171" i="4"/>
  <c r="BX173" i="4" s="1"/>
  <c r="BW171" i="4"/>
  <c r="BW173" i="4" s="1"/>
  <c r="BV171" i="4"/>
  <c r="BV173" i="4" s="1"/>
  <c r="BU171" i="4"/>
  <c r="BU173" i="4" s="1"/>
  <c r="BT171" i="4"/>
  <c r="BT173" i="4" s="1"/>
  <c r="BS171" i="4"/>
  <c r="BS173" i="4" s="1"/>
  <c r="BR171" i="4"/>
  <c r="BR173" i="4" s="1"/>
  <c r="BQ171" i="4"/>
  <c r="BQ173" i="4" s="1"/>
  <c r="BP171" i="4"/>
  <c r="BP173" i="4" s="1"/>
  <c r="BO171" i="4"/>
  <c r="BO173" i="4" s="1"/>
  <c r="BN171" i="4"/>
  <c r="BN173" i="4" s="1"/>
  <c r="BM171" i="4"/>
  <c r="BM173" i="4" s="1"/>
  <c r="BL171" i="4"/>
  <c r="BL173" i="4" s="1"/>
  <c r="BK171" i="4"/>
  <c r="BK173" i="4" s="1"/>
  <c r="BJ171" i="4"/>
  <c r="BJ173" i="4" s="1"/>
  <c r="BI171" i="4"/>
  <c r="BI173" i="4" s="1"/>
  <c r="BH171" i="4"/>
  <c r="BH173" i="4" s="1"/>
  <c r="BG171" i="4"/>
  <c r="BG173" i="4" s="1"/>
  <c r="BF171" i="4"/>
  <c r="BF173" i="4" s="1"/>
  <c r="BE171" i="4"/>
  <c r="BE173" i="4" s="1"/>
  <c r="BD171" i="4"/>
  <c r="BD173" i="4" s="1"/>
  <c r="BC171" i="4"/>
  <c r="BC173" i="4" s="1"/>
  <c r="BB171" i="4"/>
  <c r="BB173" i="4" s="1"/>
  <c r="BA171" i="4"/>
  <c r="BA173" i="4" s="1"/>
  <c r="AZ171" i="4"/>
  <c r="AZ173" i="4" s="1"/>
  <c r="AY171" i="4"/>
  <c r="AY173" i="4" s="1"/>
  <c r="AX171" i="4"/>
  <c r="AX173" i="4" s="1"/>
  <c r="AW171" i="4"/>
  <c r="AW173" i="4" s="1"/>
  <c r="AV171" i="4"/>
  <c r="AV173" i="4" s="1"/>
  <c r="AU171" i="4"/>
  <c r="AU173" i="4" s="1"/>
  <c r="AT171" i="4"/>
  <c r="AT173" i="4" s="1"/>
  <c r="AS171" i="4"/>
  <c r="AS173" i="4" s="1"/>
  <c r="AR171" i="4"/>
  <c r="AR173" i="4" s="1"/>
  <c r="AQ171" i="4"/>
  <c r="AQ173" i="4" s="1"/>
  <c r="AP171" i="4"/>
  <c r="AP173" i="4" s="1"/>
  <c r="AO171" i="4"/>
  <c r="AO173" i="4" s="1"/>
  <c r="AN171" i="4"/>
  <c r="AN173" i="4" s="1"/>
  <c r="AM171" i="4"/>
  <c r="AM173" i="4" s="1"/>
  <c r="AL171" i="4"/>
  <c r="AL173" i="4" s="1"/>
  <c r="AK171" i="4"/>
  <c r="AK173" i="4" s="1"/>
  <c r="AJ171" i="4"/>
  <c r="AJ173" i="4" s="1"/>
  <c r="AI171" i="4"/>
  <c r="AI173" i="4" s="1"/>
  <c r="AH171" i="4"/>
  <c r="AH173" i="4" s="1"/>
  <c r="AG171" i="4"/>
  <c r="AG173" i="4" s="1"/>
  <c r="AF172" i="4"/>
  <c r="AF174" i="4" s="1"/>
  <c r="AF171" i="4"/>
  <c r="AF173" i="4" s="1"/>
  <c r="H40" i="15"/>
  <c r="I40" i="15" s="1"/>
  <c r="G42" i="15"/>
  <c r="G41" i="15"/>
  <c r="EL170" i="4"/>
  <c r="EK170" i="4"/>
  <c r="EJ170" i="4"/>
  <c r="EI170" i="4"/>
  <c r="EH170" i="4"/>
  <c r="EG170" i="4"/>
  <c r="EF170" i="4"/>
  <c r="EE170" i="4"/>
  <c r="ED170" i="4"/>
  <c r="EC170" i="4"/>
  <c r="EB170" i="4"/>
  <c r="EA170" i="4"/>
  <c r="DZ170" i="4"/>
  <c r="DY170" i="4"/>
  <c r="DX170" i="4"/>
  <c r="DW170" i="4"/>
  <c r="DV170" i="4"/>
  <c r="DU170" i="4"/>
  <c r="DT170" i="4"/>
  <c r="DS170" i="4"/>
  <c r="DR170" i="4"/>
  <c r="DQ170" i="4"/>
  <c r="DP170" i="4"/>
  <c r="DO170" i="4"/>
  <c r="DN170" i="4"/>
  <c r="DM170" i="4"/>
  <c r="DL170" i="4"/>
  <c r="DK170" i="4"/>
  <c r="DJ170" i="4"/>
  <c r="DI170" i="4"/>
  <c r="DH170" i="4"/>
  <c r="DG170" i="4"/>
  <c r="DF170" i="4"/>
  <c r="DE170" i="4"/>
  <c r="DD170" i="4"/>
  <c r="DC170" i="4"/>
  <c r="DB170" i="4"/>
  <c r="DA170" i="4"/>
  <c r="CZ170" i="4"/>
  <c r="CY170" i="4"/>
  <c r="CX170" i="4"/>
  <c r="CW170" i="4"/>
  <c r="CV170" i="4"/>
  <c r="CU170" i="4"/>
  <c r="CT170" i="4"/>
  <c r="CS170" i="4"/>
  <c r="CR170" i="4"/>
  <c r="CQ170" i="4"/>
  <c r="CP170" i="4"/>
  <c r="CO170" i="4"/>
  <c r="CN170" i="4"/>
  <c r="CM170" i="4"/>
  <c r="CL170" i="4"/>
  <c r="CK170" i="4"/>
  <c r="CJ170" i="4"/>
  <c r="CI170" i="4"/>
  <c r="CH170" i="4"/>
  <c r="CG170" i="4"/>
  <c r="CF170" i="4"/>
  <c r="CE170" i="4"/>
  <c r="CD170" i="4"/>
  <c r="CC170" i="4"/>
  <c r="CB170" i="4"/>
  <c r="CA170" i="4"/>
  <c r="BZ170" i="4"/>
  <c r="BY170" i="4"/>
  <c r="BX170" i="4"/>
  <c r="BW170" i="4"/>
  <c r="BV170" i="4"/>
  <c r="BU170" i="4"/>
  <c r="BT170" i="4"/>
  <c r="BS170" i="4"/>
  <c r="BR170" i="4"/>
  <c r="BQ170" i="4"/>
  <c r="BP170" i="4"/>
  <c r="BO170" i="4"/>
  <c r="BN170" i="4"/>
  <c r="BM170" i="4"/>
  <c r="BL170" i="4"/>
  <c r="BK170" i="4"/>
  <c r="BJ170" i="4"/>
  <c r="BI170" i="4"/>
  <c r="BH170" i="4"/>
  <c r="BG170" i="4"/>
  <c r="BF170" i="4"/>
  <c r="BE170" i="4"/>
  <c r="BD170" i="4"/>
  <c r="BC170" i="4"/>
  <c r="BB170" i="4"/>
  <c r="BA170" i="4"/>
  <c r="AZ170" i="4"/>
  <c r="AY170" i="4"/>
  <c r="AX170" i="4"/>
  <c r="AW170" i="4"/>
  <c r="AV170" i="4"/>
  <c r="AU170" i="4"/>
  <c r="AT170" i="4"/>
  <c r="AS170" i="4"/>
  <c r="AR170" i="4"/>
  <c r="AQ170" i="4"/>
  <c r="AP170" i="4"/>
  <c r="AO170" i="4"/>
  <c r="AN170" i="4"/>
  <c r="AM170" i="4"/>
  <c r="AL170" i="4"/>
  <c r="AK170" i="4"/>
  <c r="AJ170" i="4"/>
  <c r="AI170" i="4"/>
  <c r="AH170" i="4"/>
  <c r="AG170" i="4"/>
  <c r="EL169" i="4"/>
  <c r="EK169" i="4"/>
  <c r="EJ169" i="4"/>
  <c r="EI169" i="4"/>
  <c r="EH169" i="4"/>
  <c r="EG169" i="4"/>
  <c r="EF169" i="4"/>
  <c r="EE169" i="4"/>
  <c r="ED169" i="4"/>
  <c r="EC169" i="4"/>
  <c r="EB169" i="4"/>
  <c r="EA169" i="4"/>
  <c r="DZ169" i="4"/>
  <c r="DY169" i="4"/>
  <c r="DX169" i="4"/>
  <c r="DW169" i="4"/>
  <c r="DV169" i="4"/>
  <c r="DU169" i="4"/>
  <c r="DT169" i="4"/>
  <c r="DS169" i="4"/>
  <c r="DR169" i="4"/>
  <c r="DQ169" i="4"/>
  <c r="DP169" i="4"/>
  <c r="DO169" i="4"/>
  <c r="DN169" i="4"/>
  <c r="DM169" i="4"/>
  <c r="DL169" i="4"/>
  <c r="DK169" i="4"/>
  <c r="DJ169" i="4"/>
  <c r="DI169" i="4"/>
  <c r="DH169" i="4"/>
  <c r="DG169" i="4"/>
  <c r="DF169" i="4"/>
  <c r="DE169" i="4"/>
  <c r="DD169" i="4"/>
  <c r="DC169" i="4"/>
  <c r="DB169" i="4"/>
  <c r="DA169" i="4"/>
  <c r="CZ169" i="4"/>
  <c r="CY169" i="4"/>
  <c r="CX169" i="4"/>
  <c r="CW169" i="4"/>
  <c r="CV169" i="4"/>
  <c r="CU169" i="4"/>
  <c r="CT169" i="4"/>
  <c r="CS169" i="4"/>
  <c r="CR169" i="4"/>
  <c r="CQ169" i="4"/>
  <c r="CP169" i="4"/>
  <c r="CO169" i="4"/>
  <c r="CN169" i="4"/>
  <c r="CM169" i="4"/>
  <c r="CL169" i="4"/>
  <c r="CK169" i="4"/>
  <c r="CJ169" i="4"/>
  <c r="CI169" i="4"/>
  <c r="CH169" i="4"/>
  <c r="CG169" i="4"/>
  <c r="CF169" i="4"/>
  <c r="CE169" i="4"/>
  <c r="CD169" i="4"/>
  <c r="CC169" i="4"/>
  <c r="CB169" i="4"/>
  <c r="CA169" i="4"/>
  <c r="BZ169" i="4"/>
  <c r="BY169" i="4"/>
  <c r="BX169" i="4"/>
  <c r="BW169" i="4"/>
  <c r="BV169" i="4"/>
  <c r="BU169" i="4"/>
  <c r="BT169" i="4"/>
  <c r="BS169" i="4"/>
  <c r="BR169" i="4"/>
  <c r="BQ169" i="4"/>
  <c r="BP169" i="4"/>
  <c r="BO169" i="4"/>
  <c r="BN169" i="4"/>
  <c r="BM169" i="4"/>
  <c r="BL169" i="4"/>
  <c r="BK169" i="4"/>
  <c r="BJ169" i="4"/>
  <c r="BI169" i="4"/>
  <c r="BH169" i="4"/>
  <c r="BG169" i="4"/>
  <c r="BF169" i="4"/>
  <c r="BE169" i="4"/>
  <c r="BD169" i="4"/>
  <c r="BC169" i="4"/>
  <c r="BB169" i="4"/>
  <c r="BA169" i="4"/>
  <c r="AZ169" i="4"/>
  <c r="AY169" i="4"/>
  <c r="AX169" i="4"/>
  <c r="AW169" i="4"/>
  <c r="AV169" i="4"/>
  <c r="AU169" i="4"/>
  <c r="AT169" i="4"/>
  <c r="AS169" i="4"/>
  <c r="AR169" i="4"/>
  <c r="AQ169" i="4"/>
  <c r="AP169" i="4"/>
  <c r="AO169" i="4"/>
  <c r="AN169" i="4"/>
  <c r="AM169" i="4"/>
  <c r="AL169" i="4"/>
  <c r="AK169" i="4"/>
  <c r="AJ169" i="4"/>
  <c r="AI169" i="4"/>
  <c r="AH169" i="4"/>
  <c r="AG169" i="4"/>
  <c r="AF170" i="4"/>
  <c r="AF169" i="4"/>
  <c r="EL168" i="4"/>
  <c r="EK168" i="4"/>
  <c r="EJ168" i="4"/>
  <c r="EI168" i="4"/>
  <c r="EH168" i="4"/>
  <c r="EG168" i="4"/>
  <c r="EF168" i="4"/>
  <c r="EE168" i="4"/>
  <c r="ED168" i="4"/>
  <c r="EC168" i="4"/>
  <c r="EB168" i="4"/>
  <c r="EA168" i="4"/>
  <c r="DZ168" i="4"/>
  <c r="DY168" i="4"/>
  <c r="DX168" i="4"/>
  <c r="DW168" i="4"/>
  <c r="DV168" i="4"/>
  <c r="DU168" i="4"/>
  <c r="DT168" i="4"/>
  <c r="DS168" i="4"/>
  <c r="DR168" i="4"/>
  <c r="DQ168" i="4"/>
  <c r="DP168" i="4"/>
  <c r="DO168" i="4"/>
  <c r="DN168" i="4"/>
  <c r="DM168" i="4"/>
  <c r="DL168" i="4"/>
  <c r="DK168" i="4"/>
  <c r="DJ168" i="4"/>
  <c r="DI168" i="4"/>
  <c r="DH168" i="4"/>
  <c r="DG168" i="4"/>
  <c r="DF168" i="4"/>
  <c r="DE168" i="4"/>
  <c r="DD168" i="4"/>
  <c r="DC168" i="4"/>
  <c r="DB168" i="4"/>
  <c r="DA168" i="4"/>
  <c r="CZ168" i="4"/>
  <c r="CY168" i="4"/>
  <c r="CX168" i="4"/>
  <c r="CW168" i="4"/>
  <c r="CV168" i="4"/>
  <c r="CU168" i="4"/>
  <c r="CT168" i="4"/>
  <c r="CS168" i="4"/>
  <c r="CR168" i="4"/>
  <c r="CQ168" i="4"/>
  <c r="CP168" i="4"/>
  <c r="CO168" i="4"/>
  <c r="CN168" i="4"/>
  <c r="CM168" i="4"/>
  <c r="CL168" i="4"/>
  <c r="CK168" i="4"/>
  <c r="CJ168" i="4"/>
  <c r="CI168" i="4"/>
  <c r="CH168" i="4"/>
  <c r="CG168" i="4"/>
  <c r="CF168" i="4"/>
  <c r="CE168" i="4"/>
  <c r="CD168" i="4"/>
  <c r="CC168" i="4"/>
  <c r="CB168" i="4"/>
  <c r="CA168" i="4"/>
  <c r="BZ168" i="4"/>
  <c r="BY168" i="4"/>
  <c r="BX168" i="4"/>
  <c r="BW168" i="4"/>
  <c r="BV168" i="4"/>
  <c r="BU168" i="4"/>
  <c r="BT168" i="4"/>
  <c r="BS168" i="4"/>
  <c r="BR168" i="4"/>
  <c r="BQ168" i="4"/>
  <c r="BP168" i="4"/>
  <c r="BO168" i="4"/>
  <c r="BN168" i="4"/>
  <c r="BM168" i="4"/>
  <c r="BL168" i="4"/>
  <c r="BK168" i="4"/>
  <c r="BJ168" i="4"/>
  <c r="BI168" i="4"/>
  <c r="BH168" i="4"/>
  <c r="BG168" i="4"/>
  <c r="BF168" i="4"/>
  <c r="BE168" i="4"/>
  <c r="BD168" i="4"/>
  <c r="BC168" i="4"/>
  <c r="BB168" i="4"/>
  <c r="BA168" i="4"/>
  <c r="AZ168" i="4"/>
  <c r="AY168" i="4"/>
  <c r="AX168" i="4"/>
  <c r="AW168" i="4"/>
  <c r="AV168" i="4"/>
  <c r="AU168" i="4"/>
  <c r="AT168" i="4"/>
  <c r="AS168" i="4"/>
  <c r="AR168" i="4"/>
  <c r="AQ168" i="4"/>
  <c r="AP168" i="4"/>
  <c r="AO168" i="4"/>
  <c r="AN168" i="4"/>
  <c r="AM168" i="4"/>
  <c r="AL168" i="4"/>
  <c r="AK168" i="4"/>
  <c r="AJ168" i="4"/>
  <c r="AI168" i="4"/>
  <c r="AH168" i="4"/>
  <c r="AG168" i="4"/>
  <c r="AF168" i="4"/>
  <c r="EL167" i="4"/>
  <c r="EK167" i="4"/>
  <c r="EJ167" i="4"/>
  <c r="EI167" i="4"/>
  <c r="EH167" i="4"/>
  <c r="EG167" i="4"/>
  <c r="EF167" i="4"/>
  <c r="EE167" i="4"/>
  <c r="ED167" i="4"/>
  <c r="EC167" i="4"/>
  <c r="EB167" i="4"/>
  <c r="EA167" i="4"/>
  <c r="DZ167" i="4"/>
  <c r="DY167" i="4"/>
  <c r="DX167" i="4"/>
  <c r="DW167" i="4"/>
  <c r="DV167" i="4"/>
  <c r="DU167" i="4"/>
  <c r="DT167" i="4"/>
  <c r="DS167" i="4"/>
  <c r="DR167" i="4"/>
  <c r="DQ167" i="4"/>
  <c r="DP167" i="4"/>
  <c r="DO167" i="4"/>
  <c r="DN167" i="4"/>
  <c r="DM167" i="4"/>
  <c r="DL167" i="4"/>
  <c r="DK167" i="4"/>
  <c r="DJ167" i="4"/>
  <c r="DI167" i="4"/>
  <c r="DH167" i="4"/>
  <c r="DG167" i="4"/>
  <c r="DF167" i="4"/>
  <c r="DE167" i="4"/>
  <c r="DD167" i="4"/>
  <c r="DC167" i="4"/>
  <c r="DB167" i="4"/>
  <c r="DA167" i="4"/>
  <c r="CZ167" i="4"/>
  <c r="CY167" i="4"/>
  <c r="CX167" i="4"/>
  <c r="CW167" i="4"/>
  <c r="CV167" i="4"/>
  <c r="CU167" i="4"/>
  <c r="CT167" i="4"/>
  <c r="CS167" i="4"/>
  <c r="CR167" i="4"/>
  <c r="CQ167" i="4"/>
  <c r="CP167" i="4"/>
  <c r="CO167" i="4"/>
  <c r="CN167" i="4"/>
  <c r="CM167" i="4"/>
  <c r="CL167" i="4"/>
  <c r="CK167" i="4"/>
  <c r="CJ167" i="4"/>
  <c r="CI167" i="4"/>
  <c r="CH167" i="4"/>
  <c r="CG167" i="4"/>
  <c r="CF167" i="4"/>
  <c r="CE167" i="4"/>
  <c r="CD167" i="4"/>
  <c r="CC167" i="4"/>
  <c r="CB167" i="4"/>
  <c r="CA167" i="4"/>
  <c r="BZ167" i="4"/>
  <c r="BY167" i="4"/>
  <c r="BX167" i="4"/>
  <c r="BW167" i="4"/>
  <c r="BV167" i="4"/>
  <c r="BU167" i="4"/>
  <c r="BT167" i="4"/>
  <c r="BS167" i="4"/>
  <c r="BR167" i="4"/>
  <c r="BQ167" i="4"/>
  <c r="BP167" i="4"/>
  <c r="BO167" i="4"/>
  <c r="BN167" i="4"/>
  <c r="BM167" i="4"/>
  <c r="BL167" i="4"/>
  <c r="BK167" i="4"/>
  <c r="BJ167" i="4"/>
  <c r="BI167" i="4"/>
  <c r="BH167" i="4"/>
  <c r="BG167" i="4"/>
  <c r="BF167" i="4"/>
  <c r="BE167" i="4"/>
  <c r="BD167" i="4"/>
  <c r="BC167" i="4"/>
  <c r="BB167" i="4"/>
  <c r="BA167" i="4"/>
  <c r="AZ167" i="4"/>
  <c r="AY167" i="4"/>
  <c r="AX167" i="4"/>
  <c r="AW167" i="4"/>
  <c r="AV167" i="4"/>
  <c r="AU167" i="4"/>
  <c r="AT167" i="4"/>
  <c r="AS167" i="4"/>
  <c r="AR167" i="4"/>
  <c r="AQ167" i="4"/>
  <c r="AP167" i="4"/>
  <c r="AO167" i="4"/>
  <c r="AN167" i="4"/>
  <c r="AM167" i="4"/>
  <c r="AL167" i="4"/>
  <c r="AK167" i="4"/>
  <c r="AJ167" i="4"/>
  <c r="AI167" i="4"/>
  <c r="AH167" i="4"/>
  <c r="AG167" i="4"/>
  <c r="AF167" i="4"/>
  <c r="EL164" i="4"/>
  <c r="EL166" i="4" s="1"/>
  <c r="EK164" i="4"/>
  <c r="EK166" i="4" s="1"/>
  <c r="EJ164" i="4"/>
  <c r="EJ166" i="4" s="1"/>
  <c r="EI164" i="4"/>
  <c r="EI166" i="4" s="1"/>
  <c r="EH164" i="4"/>
  <c r="EH166" i="4" s="1"/>
  <c r="EG164" i="4"/>
  <c r="EG166" i="4" s="1"/>
  <c r="EF164" i="4"/>
  <c r="EF166" i="4" s="1"/>
  <c r="EE164" i="4"/>
  <c r="EE166" i="4" s="1"/>
  <c r="ED164" i="4"/>
  <c r="ED166" i="4" s="1"/>
  <c r="EC164" i="4"/>
  <c r="EC166" i="4" s="1"/>
  <c r="EB164" i="4"/>
  <c r="EB166" i="4" s="1"/>
  <c r="EA164" i="4"/>
  <c r="EA166" i="4" s="1"/>
  <c r="DZ164" i="4"/>
  <c r="DZ166" i="4" s="1"/>
  <c r="DY164" i="4"/>
  <c r="DY166" i="4" s="1"/>
  <c r="DX164" i="4"/>
  <c r="DX166" i="4" s="1"/>
  <c r="DW164" i="4"/>
  <c r="DW166" i="4" s="1"/>
  <c r="DV164" i="4"/>
  <c r="DV166" i="4" s="1"/>
  <c r="DU164" i="4"/>
  <c r="DU166" i="4" s="1"/>
  <c r="DT164" i="4"/>
  <c r="DT166" i="4" s="1"/>
  <c r="DS164" i="4"/>
  <c r="DS166" i="4" s="1"/>
  <c r="DR164" i="4"/>
  <c r="DR166" i="4" s="1"/>
  <c r="DQ164" i="4"/>
  <c r="DQ166" i="4" s="1"/>
  <c r="DP164" i="4"/>
  <c r="DP166" i="4" s="1"/>
  <c r="DO164" i="4"/>
  <c r="DO166" i="4" s="1"/>
  <c r="DN164" i="4"/>
  <c r="DN166" i="4" s="1"/>
  <c r="DM164" i="4"/>
  <c r="DM166" i="4" s="1"/>
  <c r="DL164" i="4"/>
  <c r="DL166" i="4" s="1"/>
  <c r="DK164" i="4"/>
  <c r="DK166" i="4" s="1"/>
  <c r="DJ164" i="4"/>
  <c r="DJ166" i="4" s="1"/>
  <c r="DI164" i="4"/>
  <c r="DI166" i="4" s="1"/>
  <c r="DH164" i="4"/>
  <c r="DH166" i="4" s="1"/>
  <c r="DG164" i="4"/>
  <c r="DG166" i="4" s="1"/>
  <c r="DF164" i="4"/>
  <c r="DF166" i="4" s="1"/>
  <c r="DE164" i="4"/>
  <c r="DE166" i="4" s="1"/>
  <c r="DD164" i="4"/>
  <c r="DD166" i="4" s="1"/>
  <c r="DC164" i="4"/>
  <c r="DC166" i="4" s="1"/>
  <c r="DB164" i="4"/>
  <c r="DB166" i="4" s="1"/>
  <c r="DA164" i="4"/>
  <c r="DA166" i="4" s="1"/>
  <c r="CZ164" i="4"/>
  <c r="CZ166" i="4" s="1"/>
  <c r="CY164" i="4"/>
  <c r="CY166" i="4" s="1"/>
  <c r="CX164" i="4"/>
  <c r="CX166" i="4" s="1"/>
  <c r="CW164" i="4"/>
  <c r="CW166" i="4" s="1"/>
  <c r="CV164" i="4"/>
  <c r="CV166" i="4" s="1"/>
  <c r="CU164" i="4"/>
  <c r="CU166" i="4" s="1"/>
  <c r="CT164" i="4"/>
  <c r="CT166" i="4" s="1"/>
  <c r="CS164" i="4"/>
  <c r="CS166" i="4" s="1"/>
  <c r="CR164" i="4"/>
  <c r="CR166" i="4" s="1"/>
  <c r="CQ164" i="4"/>
  <c r="CQ166" i="4" s="1"/>
  <c r="CP164" i="4"/>
  <c r="CP166" i="4" s="1"/>
  <c r="CO164" i="4"/>
  <c r="CO166" i="4" s="1"/>
  <c r="CN164" i="4"/>
  <c r="CN166" i="4" s="1"/>
  <c r="CM164" i="4"/>
  <c r="CM166" i="4" s="1"/>
  <c r="CL164" i="4"/>
  <c r="CL166" i="4" s="1"/>
  <c r="CK164" i="4"/>
  <c r="CK166" i="4" s="1"/>
  <c r="CJ164" i="4"/>
  <c r="CJ166" i="4" s="1"/>
  <c r="CI164" i="4"/>
  <c r="CI166" i="4" s="1"/>
  <c r="CH164" i="4"/>
  <c r="CH166" i="4" s="1"/>
  <c r="CG164" i="4"/>
  <c r="CG166" i="4" s="1"/>
  <c r="CF164" i="4"/>
  <c r="CF166" i="4" s="1"/>
  <c r="CE164" i="4"/>
  <c r="CE166" i="4" s="1"/>
  <c r="CD164" i="4"/>
  <c r="CD166" i="4" s="1"/>
  <c r="CC164" i="4"/>
  <c r="CC166" i="4" s="1"/>
  <c r="CB164" i="4"/>
  <c r="CB166" i="4" s="1"/>
  <c r="CA164" i="4"/>
  <c r="CA166" i="4" s="1"/>
  <c r="BZ164" i="4"/>
  <c r="BZ166" i="4" s="1"/>
  <c r="BY164" i="4"/>
  <c r="BY166" i="4" s="1"/>
  <c r="BX164" i="4"/>
  <c r="BX166" i="4" s="1"/>
  <c r="BW164" i="4"/>
  <c r="BW166" i="4" s="1"/>
  <c r="BV164" i="4"/>
  <c r="BV166" i="4" s="1"/>
  <c r="BU164" i="4"/>
  <c r="BU166" i="4" s="1"/>
  <c r="BT164" i="4"/>
  <c r="BT166" i="4" s="1"/>
  <c r="BS164" i="4"/>
  <c r="BS166" i="4" s="1"/>
  <c r="BR164" i="4"/>
  <c r="BR166" i="4" s="1"/>
  <c r="BQ164" i="4"/>
  <c r="BQ166" i="4" s="1"/>
  <c r="BP164" i="4"/>
  <c r="BP166" i="4" s="1"/>
  <c r="BO164" i="4"/>
  <c r="BO166" i="4" s="1"/>
  <c r="BN164" i="4"/>
  <c r="BM164" i="4"/>
  <c r="BL164" i="4"/>
  <c r="BL166" i="4" s="1"/>
  <c r="BK164" i="4"/>
  <c r="BK166" i="4" s="1"/>
  <c r="BJ164" i="4"/>
  <c r="BJ166" i="4" s="1"/>
  <c r="BI164" i="4"/>
  <c r="BI166" i="4" s="1"/>
  <c r="BH164" i="4"/>
  <c r="BH166" i="4" s="1"/>
  <c r="BG164" i="4"/>
  <c r="BG166" i="4" s="1"/>
  <c r="BF164" i="4"/>
  <c r="BF166" i="4" s="1"/>
  <c r="BE164" i="4"/>
  <c r="BE166" i="4" s="1"/>
  <c r="BD164" i="4"/>
  <c r="BD166" i="4" s="1"/>
  <c r="BC164" i="4"/>
  <c r="BC166" i="4" s="1"/>
  <c r="BB164" i="4"/>
  <c r="BB166" i="4" s="1"/>
  <c r="BA164" i="4"/>
  <c r="BA166" i="4" s="1"/>
  <c r="AZ164" i="4"/>
  <c r="AZ166" i="4" s="1"/>
  <c r="AY164" i="4"/>
  <c r="AY166" i="4" s="1"/>
  <c r="AX164" i="4"/>
  <c r="AX166" i="4" s="1"/>
  <c r="AW164" i="4"/>
  <c r="AW166" i="4" s="1"/>
  <c r="AV164" i="4"/>
  <c r="AV166" i="4" s="1"/>
  <c r="AU164" i="4"/>
  <c r="AU166" i="4" s="1"/>
  <c r="AT164" i="4"/>
  <c r="AT166" i="4" s="1"/>
  <c r="AS164" i="4"/>
  <c r="AS166" i="4" s="1"/>
  <c r="AR164" i="4"/>
  <c r="AR166" i="4" s="1"/>
  <c r="AQ164" i="4"/>
  <c r="AQ166" i="4" s="1"/>
  <c r="AP164" i="4"/>
  <c r="AP166" i="4" s="1"/>
  <c r="AO164" i="4"/>
  <c r="AO166" i="4" s="1"/>
  <c r="AN164" i="4"/>
  <c r="AN166" i="4" s="1"/>
  <c r="AM164" i="4"/>
  <c r="AM166" i="4" s="1"/>
  <c r="AL164" i="4"/>
  <c r="AL166" i="4" s="1"/>
  <c r="AK164" i="4"/>
  <c r="AK166" i="4" s="1"/>
  <c r="AJ164" i="4"/>
  <c r="AJ166" i="4" s="1"/>
  <c r="AI164" i="4"/>
  <c r="AI166" i="4" s="1"/>
  <c r="AH164" i="4"/>
  <c r="AG164" i="4"/>
  <c r="AG166" i="4" s="1"/>
  <c r="AF164" i="4"/>
  <c r="EL163" i="4"/>
  <c r="EL165" i="4" s="1"/>
  <c r="EK163" i="4"/>
  <c r="EK165" i="4" s="1"/>
  <c r="EJ163" i="4"/>
  <c r="EJ165" i="4" s="1"/>
  <c r="EI163" i="4"/>
  <c r="EI165" i="4" s="1"/>
  <c r="EH163" i="4"/>
  <c r="EH165" i="4" s="1"/>
  <c r="EG163" i="4"/>
  <c r="EG165" i="4" s="1"/>
  <c r="EF163" i="4"/>
  <c r="EF165" i="4" s="1"/>
  <c r="EE163" i="4"/>
  <c r="EE165" i="4" s="1"/>
  <c r="ED163" i="4"/>
  <c r="ED165" i="4" s="1"/>
  <c r="EC163" i="4"/>
  <c r="EC165" i="4" s="1"/>
  <c r="EB163" i="4"/>
  <c r="EB165" i="4" s="1"/>
  <c r="EA163" i="4"/>
  <c r="EA165" i="4" s="1"/>
  <c r="DZ163" i="4"/>
  <c r="DZ165" i="4" s="1"/>
  <c r="DY163" i="4"/>
  <c r="DY165" i="4" s="1"/>
  <c r="DX163" i="4"/>
  <c r="DX165" i="4" s="1"/>
  <c r="DW163" i="4"/>
  <c r="DW165" i="4" s="1"/>
  <c r="DV163" i="4"/>
  <c r="DV165" i="4" s="1"/>
  <c r="DU163" i="4"/>
  <c r="DU165" i="4" s="1"/>
  <c r="DT163" i="4"/>
  <c r="DT165" i="4" s="1"/>
  <c r="DS163" i="4"/>
  <c r="DS165" i="4" s="1"/>
  <c r="DR163" i="4"/>
  <c r="DR165" i="4" s="1"/>
  <c r="DQ163" i="4"/>
  <c r="DQ165" i="4" s="1"/>
  <c r="DP163" i="4"/>
  <c r="DP165" i="4" s="1"/>
  <c r="DO163" i="4"/>
  <c r="DO165" i="4" s="1"/>
  <c r="DN163" i="4"/>
  <c r="DN165" i="4" s="1"/>
  <c r="DM163" i="4"/>
  <c r="DM165" i="4" s="1"/>
  <c r="DL163" i="4"/>
  <c r="DL165" i="4" s="1"/>
  <c r="DK163" i="4"/>
  <c r="DK165" i="4" s="1"/>
  <c r="DJ163" i="4"/>
  <c r="DJ165" i="4" s="1"/>
  <c r="DI163" i="4"/>
  <c r="DI165" i="4" s="1"/>
  <c r="DH163" i="4"/>
  <c r="DH165" i="4" s="1"/>
  <c r="DG163" i="4"/>
  <c r="DG165" i="4" s="1"/>
  <c r="DF163" i="4"/>
  <c r="DF165" i="4" s="1"/>
  <c r="DE163" i="4"/>
  <c r="DE165" i="4" s="1"/>
  <c r="DD163" i="4"/>
  <c r="DD165" i="4" s="1"/>
  <c r="DC163" i="4"/>
  <c r="DC165" i="4" s="1"/>
  <c r="DB163" i="4"/>
  <c r="DB165" i="4" s="1"/>
  <c r="DA163" i="4"/>
  <c r="DA165" i="4" s="1"/>
  <c r="CZ163" i="4"/>
  <c r="CZ165" i="4" s="1"/>
  <c r="CY163" i="4"/>
  <c r="CY165" i="4" s="1"/>
  <c r="CX163" i="4"/>
  <c r="CX165" i="4" s="1"/>
  <c r="CW163" i="4"/>
  <c r="CW165" i="4" s="1"/>
  <c r="CV163" i="4"/>
  <c r="CV165" i="4" s="1"/>
  <c r="CU163" i="4"/>
  <c r="CU165" i="4" s="1"/>
  <c r="CT163" i="4"/>
  <c r="CT165" i="4" s="1"/>
  <c r="CS163" i="4"/>
  <c r="CS165" i="4" s="1"/>
  <c r="CR163" i="4"/>
  <c r="CR165" i="4" s="1"/>
  <c r="CQ163" i="4"/>
  <c r="CQ165" i="4" s="1"/>
  <c r="CP163" i="4"/>
  <c r="CP165" i="4" s="1"/>
  <c r="CO163" i="4"/>
  <c r="CO165" i="4" s="1"/>
  <c r="CN163" i="4"/>
  <c r="CN165" i="4" s="1"/>
  <c r="CM163" i="4"/>
  <c r="CM165" i="4" s="1"/>
  <c r="CL163" i="4"/>
  <c r="CL165" i="4" s="1"/>
  <c r="CK163" i="4"/>
  <c r="CK165" i="4" s="1"/>
  <c r="CJ163" i="4"/>
  <c r="CJ165" i="4" s="1"/>
  <c r="CI163" i="4"/>
  <c r="CI165" i="4" s="1"/>
  <c r="CH163" i="4"/>
  <c r="CH165" i="4" s="1"/>
  <c r="CG163" i="4"/>
  <c r="CG165" i="4" s="1"/>
  <c r="CF163" i="4"/>
  <c r="CF165" i="4" s="1"/>
  <c r="CE163" i="4"/>
  <c r="CE165" i="4" s="1"/>
  <c r="CD163" i="4"/>
  <c r="CD165" i="4" s="1"/>
  <c r="CC163" i="4"/>
  <c r="CC165" i="4" s="1"/>
  <c r="CB163" i="4"/>
  <c r="CB165" i="4" s="1"/>
  <c r="CA163" i="4"/>
  <c r="CA165" i="4" s="1"/>
  <c r="BZ163" i="4"/>
  <c r="BZ165" i="4" s="1"/>
  <c r="BY163" i="4"/>
  <c r="BY165" i="4" s="1"/>
  <c r="BX163" i="4"/>
  <c r="BX165" i="4" s="1"/>
  <c r="BW163" i="4"/>
  <c r="BW165" i="4" s="1"/>
  <c r="BV163" i="4"/>
  <c r="BV165" i="4" s="1"/>
  <c r="BU163" i="4"/>
  <c r="BU165" i="4" s="1"/>
  <c r="BT163" i="4"/>
  <c r="BT165" i="4" s="1"/>
  <c r="BS163" i="4"/>
  <c r="BS165" i="4" s="1"/>
  <c r="BR163" i="4"/>
  <c r="BR165" i="4" s="1"/>
  <c r="BQ163" i="4"/>
  <c r="BQ165" i="4" s="1"/>
  <c r="BP163" i="4"/>
  <c r="BP165" i="4" s="1"/>
  <c r="BO163" i="4"/>
  <c r="BO165" i="4" s="1"/>
  <c r="BN163" i="4"/>
  <c r="BN165" i="4" s="1"/>
  <c r="BM163" i="4"/>
  <c r="BL163" i="4"/>
  <c r="BL165" i="4" s="1"/>
  <c r="BK163" i="4"/>
  <c r="BK165" i="4" s="1"/>
  <c r="BJ163" i="4"/>
  <c r="BJ165" i="4" s="1"/>
  <c r="BI163" i="4"/>
  <c r="BI165" i="4" s="1"/>
  <c r="BH163" i="4"/>
  <c r="BH165" i="4" s="1"/>
  <c r="BG163" i="4"/>
  <c r="BG165" i="4" s="1"/>
  <c r="BF163" i="4"/>
  <c r="BF165" i="4" s="1"/>
  <c r="BE163" i="4"/>
  <c r="BE165" i="4" s="1"/>
  <c r="BD163" i="4"/>
  <c r="BD165" i="4" s="1"/>
  <c r="BC163" i="4"/>
  <c r="BC165" i="4" s="1"/>
  <c r="BB163" i="4"/>
  <c r="BB165" i="4" s="1"/>
  <c r="BA163" i="4"/>
  <c r="BA165" i="4" s="1"/>
  <c r="AZ163" i="4"/>
  <c r="AZ165" i="4" s="1"/>
  <c r="AY163" i="4"/>
  <c r="AY165" i="4" s="1"/>
  <c r="AX163" i="4"/>
  <c r="AX165" i="4" s="1"/>
  <c r="AW163" i="4"/>
  <c r="AW165" i="4" s="1"/>
  <c r="AV163" i="4"/>
  <c r="AV165" i="4" s="1"/>
  <c r="AU163" i="4"/>
  <c r="AU165" i="4" s="1"/>
  <c r="AT163" i="4"/>
  <c r="AT165" i="4" s="1"/>
  <c r="AS163" i="4"/>
  <c r="AS165" i="4" s="1"/>
  <c r="AR163" i="4"/>
  <c r="AR165" i="4" s="1"/>
  <c r="AQ163" i="4"/>
  <c r="AQ165" i="4" s="1"/>
  <c r="AP163" i="4"/>
  <c r="AP165" i="4" s="1"/>
  <c r="AO163" i="4"/>
  <c r="AO165" i="4" s="1"/>
  <c r="AN163" i="4"/>
  <c r="AN165" i="4" s="1"/>
  <c r="AM163" i="4"/>
  <c r="AM165" i="4" s="1"/>
  <c r="AL163" i="4"/>
  <c r="AL165" i="4" s="1"/>
  <c r="AK163" i="4"/>
  <c r="AK165" i="4" s="1"/>
  <c r="AJ163" i="4"/>
  <c r="AJ165" i="4" s="1"/>
  <c r="AI163" i="4"/>
  <c r="AI165" i="4" s="1"/>
  <c r="AH163" i="4"/>
  <c r="AH165" i="4" s="1"/>
  <c r="AG163" i="4"/>
  <c r="AF163" i="4"/>
  <c r="D7" i="15" l="1"/>
  <c r="D4" i="15"/>
  <c r="D6" i="15"/>
  <c r="D58" i="15"/>
  <c r="D59" i="15"/>
  <c r="D49" i="15"/>
  <c r="D50" i="15"/>
  <c r="H42" i="15"/>
  <c r="I42" i="15"/>
  <c r="I41" i="15"/>
  <c r="J40" i="15"/>
  <c r="H41" i="15"/>
  <c r="D36" i="15"/>
  <c r="I163" i="4"/>
  <c r="Q164" i="4"/>
  <c r="D31" i="15"/>
  <c r="H163" i="4"/>
  <c r="R164" i="4"/>
  <c r="BM166" i="4"/>
  <c r="AA163" i="4"/>
  <c r="S164" i="4"/>
  <c r="R163" i="4"/>
  <c r="H164" i="4"/>
  <c r="S163" i="4"/>
  <c r="AF165" i="4"/>
  <c r="I164" i="4"/>
  <c r="L163" i="4"/>
  <c r="AB163" i="4"/>
  <c r="T164" i="4"/>
  <c r="U163" i="4"/>
  <c r="AC163" i="4"/>
  <c r="M164" i="4"/>
  <c r="AC164" i="4"/>
  <c r="N163" i="4"/>
  <c r="V163" i="4"/>
  <c r="AD163" i="4"/>
  <c r="N164" i="4"/>
  <c r="V164" i="4"/>
  <c r="AD164" i="4"/>
  <c r="C163" i="4"/>
  <c r="O163" i="4"/>
  <c r="W163" i="4"/>
  <c r="C164" i="4"/>
  <c r="O164" i="4"/>
  <c r="W164" i="4"/>
  <c r="D163" i="4"/>
  <c r="P163" i="4"/>
  <c r="X163" i="4"/>
  <c r="D164" i="4"/>
  <c r="P164" i="4"/>
  <c r="X164" i="4"/>
  <c r="AF166" i="4"/>
  <c r="AH166" i="4"/>
  <c r="BN166" i="4"/>
  <c r="G163" i="4"/>
  <c r="Q163" i="4"/>
  <c r="Y163" i="4"/>
  <c r="G164" i="4"/>
  <c r="Y164" i="4"/>
  <c r="AG165" i="4"/>
  <c r="BM165" i="4"/>
  <c r="T163" i="4"/>
  <c r="L164" i="4"/>
  <c r="AB164" i="4"/>
  <c r="M163" i="4"/>
  <c r="U164" i="4"/>
  <c r="Z163" i="4"/>
  <c r="Z164" i="4"/>
  <c r="AA164" i="4"/>
  <c r="D3" i="15"/>
  <c r="D24" i="15"/>
  <c r="J82" i="15" s="1"/>
  <c r="D23" i="15"/>
  <c r="J81" i="15" s="1"/>
  <c r="D15" i="15"/>
  <c r="J72" i="15" s="1"/>
  <c r="D14" i="15"/>
  <c r="J71" i="15" s="1"/>
  <c r="D23" i="8"/>
  <c r="D60" i="15" l="1"/>
  <c r="D51" i="15"/>
  <c r="J41" i="15"/>
  <c r="K40" i="15"/>
  <c r="J42" i="15"/>
  <c r="D32" i="15"/>
  <c r="D37" i="15"/>
  <c r="D25" i="15"/>
  <c r="D16" i="15"/>
  <c r="K269" i="9"/>
  <c r="K268" i="9"/>
  <c r="K267" i="9"/>
  <c r="K266" i="9"/>
  <c r="K265" i="9"/>
  <c r="K264" i="9"/>
  <c r="K263" i="9"/>
  <c r="K262" i="9"/>
  <c r="K261" i="9"/>
  <c r="K260" i="9"/>
  <c r="K259" i="9"/>
  <c r="K258" i="9"/>
  <c r="K257" i="9"/>
  <c r="K256" i="9"/>
  <c r="K255" i="9"/>
  <c r="K254" i="9"/>
  <c r="K253" i="9"/>
  <c r="K252" i="9"/>
  <c r="K251" i="9"/>
  <c r="K250" i="9"/>
  <c r="K249" i="9"/>
  <c r="K248" i="9"/>
  <c r="K247" i="9"/>
  <c r="K246" i="9"/>
  <c r="K245" i="9"/>
  <c r="K244" i="9"/>
  <c r="K243" i="9"/>
  <c r="K242" i="9"/>
  <c r="L269" i="9"/>
  <c r="L268" i="9"/>
  <c r="L267" i="9"/>
  <c r="L266" i="9"/>
  <c r="L265" i="9"/>
  <c r="L264" i="9"/>
  <c r="L263" i="9"/>
  <c r="L262" i="9"/>
  <c r="L261" i="9"/>
  <c r="L260" i="9"/>
  <c r="L259" i="9"/>
  <c r="L258" i="9"/>
  <c r="L257" i="9"/>
  <c r="L256" i="9"/>
  <c r="L255" i="9"/>
  <c r="L254" i="9"/>
  <c r="L253" i="9"/>
  <c r="L252" i="9"/>
  <c r="L251" i="9"/>
  <c r="L250" i="9"/>
  <c r="L249" i="9"/>
  <c r="L248" i="9"/>
  <c r="L247" i="9"/>
  <c r="L246" i="9"/>
  <c r="L245" i="9"/>
  <c r="L244" i="9"/>
  <c r="L243" i="9"/>
  <c r="L242" i="9"/>
  <c r="J242" i="9"/>
  <c r="J243" i="9"/>
  <c r="J244" i="9"/>
  <c r="J245" i="9"/>
  <c r="J246" i="9"/>
  <c r="J247" i="9"/>
  <c r="J248" i="9"/>
  <c r="J249" i="9"/>
  <c r="J250" i="9"/>
  <c r="J251" i="9"/>
  <c r="J252" i="9"/>
  <c r="J253" i="9"/>
  <c r="J254" i="9"/>
  <c r="J255" i="9"/>
  <c r="J256" i="9"/>
  <c r="J257" i="9"/>
  <c r="J258" i="9"/>
  <c r="J259" i="9"/>
  <c r="J260" i="9"/>
  <c r="J261" i="9"/>
  <c r="J262" i="9"/>
  <c r="J263" i="9"/>
  <c r="J264" i="9"/>
  <c r="J265" i="9"/>
  <c r="J266" i="9"/>
  <c r="J267" i="9"/>
  <c r="J268" i="9"/>
  <c r="J269" i="9"/>
  <c r="D237" i="9"/>
  <c r="D238" i="9" s="1"/>
  <c r="D241" i="9" s="1"/>
  <c r="D52" i="15" l="1"/>
  <c r="J73" i="15"/>
  <c r="K73" i="15" s="1"/>
  <c r="D61" i="15"/>
  <c r="J83" i="15"/>
  <c r="K83" i="15" s="1"/>
  <c r="K41" i="15"/>
  <c r="K42" i="15"/>
  <c r="L40" i="15"/>
  <c r="AD147" i="4"/>
  <c r="AC147" i="4"/>
  <c r="AB147" i="4"/>
  <c r="AA147" i="4"/>
  <c r="Z147" i="4"/>
  <c r="Y147" i="4"/>
  <c r="X147" i="4"/>
  <c r="W147" i="4"/>
  <c r="V147" i="4"/>
  <c r="U147" i="4"/>
  <c r="T147" i="4"/>
  <c r="S147" i="4"/>
  <c r="R147" i="4"/>
  <c r="Q147" i="4"/>
  <c r="P147" i="4"/>
  <c r="O147" i="4"/>
  <c r="N147" i="4"/>
  <c r="M147" i="4"/>
  <c r="L147" i="4"/>
  <c r="I147" i="4"/>
  <c r="H147" i="4"/>
  <c r="G147" i="4"/>
  <c r="D147" i="4"/>
  <c r="C147" i="4"/>
  <c r="AD146" i="4"/>
  <c r="AC146" i="4"/>
  <c r="AB146" i="4"/>
  <c r="AA146" i="4"/>
  <c r="Z146" i="4"/>
  <c r="Y146" i="4"/>
  <c r="X146" i="4"/>
  <c r="W146" i="4"/>
  <c r="V146" i="4"/>
  <c r="U146" i="4"/>
  <c r="T146" i="4"/>
  <c r="S146" i="4"/>
  <c r="R146" i="4"/>
  <c r="Q146" i="4"/>
  <c r="P146" i="4"/>
  <c r="O146" i="4"/>
  <c r="N146" i="4"/>
  <c r="M146" i="4"/>
  <c r="L146" i="4"/>
  <c r="I146" i="4"/>
  <c r="H146" i="4"/>
  <c r="G146" i="4"/>
  <c r="D146" i="4"/>
  <c r="C146" i="4"/>
  <c r="L42" i="15" l="1"/>
  <c r="L41" i="15"/>
  <c r="M40" i="15"/>
  <c r="G198" i="3"/>
  <c r="M42" i="15" l="1"/>
  <c r="N40" i="15"/>
  <c r="M41" i="15"/>
  <c r="G270" i="3"/>
  <c r="G269" i="3"/>
  <c r="G263" i="3"/>
  <c r="G262" i="3"/>
  <c r="O40" i="15" l="1"/>
  <c r="N42" i="15"/>
  <c r="N41" i="15"/>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08" i="9"/>
  <c r="D209" i="9"/>
  <c r="D210" i="9"/>
  <c r="D211" i="9"/>
  <c r="D212" i="9"/>
  <c r="D213" i="9"/>
  <c r="D214" i="9"/>
  <c r="D215" i="9"/>
  <c r="D216" i="9"/>
  <c r="D217" i="9"/>
  <c r="D218" i="9"/>
  <c r="D219" i="9"/>
  <c r="D220" i="9"/>
  <c r="D221" i="9"/>
  <c r="D222" i="9"/>
  <c r="D223" i="9"/>
  <c r="D224" i="9"/>
  <c r="D225" i="9"/>
  <c r="D226" i="9"/>
  <c r="D227" i="9"/>
  <c r="D228" i="9"/>
  <c r="D229" i="9"/>
  <c r="C166" i="9"/>
  <c r="C167" i="9"/>
  <c r="C168" i="9"/>
  <c r="C169" i="9"/>
  <c r="C170" i="9"/>
  <c r="C171" i="9"/>
  <c r="C172" i="9"/>
  <c r="E172" i="9" s="1"/>
  <c r="C173" i="9"/>
  <c r="E173" i="9" s="1"/>
  <c r="C174" i="9"/>
  <c r="E174" i="9" s="1"/>
  <c r="C175" i="9"/>
  <c r="E175" i="9" s="1"/>
  <c r="C176" i="9"/>
  <c r="E176" i="9" s="1"/>
  <c r="C177" i="9"/>
  <c r="E177" i="9" s="1"/>
  <c r="C178" i="9"/>
  <c r="E178" i="9" s="1"/>
  <c r="C179" i="9"/>
  <c r="E179" i="9" s="1"/>
  <c r="C180" i="9"/>
  <c r="E180" i="9" s="1"/>
  <c r="C181" i="9"/>
  <c r="E181" i="9" s="1"/>
  <c r="C182" i="9"/>
  <c r="E182" i="9" s="1"/>
  <c r="C183" i="9"/>
  <c r="E183" i="9" s="1"/>
  <c r="C184" i="9"/>
  <c r="E184" i="9" s="1"/>
  <c r="C185" i="9"/>
  <c r="E185" i="9" s="1"/>
  <c r="C186" i="9"/>
  <c r="E186" i="9" s="1"/>
  <c r="C187" i="9"/>
  <c r="E187" i="9" s="1"/>
  <c r="C188" i="9"/>
  <c r="E188" i="9" s="1"/>
  <c r="C189" i="9"/>
  <c r="E189" i="9" s="1"/>
  <c r="C190" i="9"/>
  <c r="E190" i="9" s="1"/>
  <c r="C191" i="9"/>
  <c r="E191" i="9" s="1"/>
  <c r="C192" i="9"/>
  <c r="E192" i="9" s="1"/>
  <c r="C193" i="9"/>
  <c r="E193" i="9" s="1"/>
  <c r="C194" i="9"/>
  <c r="E194" i="9" s="1"/>
  <c r="C195" i="9"/>
  <c r="E195" i="9" s="1"/>
  <c r="C196" i="9"/>
  <c r="C197" i="9"/>
  <c r="E197" i="9" s="1"/>
  <c r="C198" i="9"/>
  <c r="E198" i="9" s="1"/>
  <c r="C199" i="9"/>
  <c r="E199" i="9" s="1"/>
  <c r="C200" i="9"/>
  <c r="E200" i="9" s="1"/>
  <c r="C201" i="9"/>
  <c r="E201" i="9" s="1"/>
  <c r="C202" i="9"/>
  <c r="E202" i="9" s="1"/>
  <c r="C203" i="9"/>
  <c r="E203" i="9" s="1"/>
  <c r="C204" i="9"/>
  <c r="E204" i="9" s="1"/>
  <c r="C205" i="9"/>
  <c r="E205" i="9" s="1"/>
  <c r="C206" i="9"/>
  <c r="E206" i="9" s="1"/>
  <c r="C207" i="9"/>
  <c r="C208" i="9"/>
  <c r="E208" i="9" s="1"/>
  <c r="C209" i="9"/>
  <c r="E209" i="9" s="1"/>
  <c r="C210" i="9"/>
  <c r="E210" i="9" s="1"/>
  <c r="C211" i="9"/>
  <c r="E211" i="9" s="1"/>
  <c r="C212" i="9"/>
  <c r="E212" i="9" s="1"/>
  <c r="C213" i="9"/>
  <c r="E213" i="9" s="1"/>
  <c r="C214" i="9"/>
  <c r="E214" i="9" s="1"/>
  <c r="C215" i="9"/>
  <c r="E215" i="9" s="1"/>
  <c r="C216" i="9"/>
  <c r="E216" i="9" s="1"/>
  <c r="C217" i="9"/>
  <c r="E217" i="9" s="1"/>
  <c r="C218" i="9"/>
  <c r="E218" i="9" s="1"/>
  <c r="C219" i="9"/>
  <c r="E219" i="9" s="1"/>
  <c r="C220" i="9"/>
  <c r="E220" i="9" s="1"/>
  <c r="C221" i="9"/>
  <c r="E221" i="9" s="1"/>
  <c r="C222" i="9"/>
  <c r="E222" i="9" s="1"/>
  <c r="C223" i="9"/>
  <c r="E223" i="9" s="1"/>
  <c r="C224" i="9"/>
  <c r="E224" i="9" s="1"/>
  <c r="C225" i="9"/>
  <c r="E225" i="9" s="1"/>
  <c r="C226" i="9"/>
  <c r="E226" i="9" s="1"/>
  <c r="C227" i="9"/>
  <c r="E227" i="9" s="1"/>
  <c r="C228" i="9"/>
  <c r="E228" i="9" s="1"/>
  <c r="C229" i="9"/>
  <c r="E229" i="9" s="1"/>
  <c r="M276" i="3"/>
  <c r="L276" i="3"/>
  <c r="K276" i="3"/>
  <c r="J276" i="3"/>
  <c r="D16" i="14"/>
  <c r="D15" i="14"/>
  <c r="C15" i="14"/>
  <c r="D12" i="14"/>
  <c r="C9" i="14"/>
  <c r="C7" i="14"/>
  <c r="E169" i="9" l="1"/>
  <c r="E196" i="9"/>
  <c r="E171" i="9"/>
  <c r="E168" i="9"/>
  <c r="E167" i="9"/>
  <c r="E166" i="9"/>
  <c r="E170" i="9"/>
  <c r="P40" i="15"/>
  <c r="O41" i="15"/>
  <c r="O42" i="15"/>
  <c r="E207" i="9"/>
  <c r="H166" i="9" l="1"/>
  <c r="Q40" i="15"/>
  <c r="P41" i="15"/>
  <c r="P42" i="15"/>
  <c r="C7" i="13"/>
  <c r="C28" i="14"/>
  <c r="D23" i="14"/>
  <c r="D22" i="14"/>
  <c r="D20" i="14"/>
  <c r="E10" i="14"/>
  <c r="H244" i="3"/>
  <c r="D16" i="13"/>
  <c r="D15" i="13"/>
  <c r="C15" i="13"/>
  <c r="D12" i="13"/>
  <c r="C9" i="13"/>
  <c r="C26" i="13"/>
  <c r="D21" i="13"/>
  <c r="D20" i="13"/>
  <c r="D18" i="13"/>
  <c r="E10" i="13"/>
  <c r="R40" i="15" l="1"/>
  <c r="Q42" i="15"/>
  <c r="Q41" i="15"/>
  <c r="FK162" i="4"/>
  <c r="FJ162" i="4"/>
  <c r="FI162" i="4"/>
  <c r="FH162" i="4"/>
  <c r="FG162" i="4"/>
  <c r="FF162" i="4"/>
  <c r="FE162" i="4"/>
  <c r="FD162" i="4"/>
  <c r="FC162" i="4"/>
  <c r="FB162" i="4"/>
  <c r="FA162" i="4"/>
  <c r="EZ162" i="4"/>
  <c r="EY162" i="4"/>
  <c r="EX162" i="4"/>
  <c r="EW162" i="4"/>
  <c r="EV162" i="4"/>
  <c r="EU162" i="4"/>
  <c r="ET162" i="4"/>
  <c r="ES162" i="4"/>
  <c r="ER162" i="4"/>
  <c r="EQ162" i="4"/>
  <c r="EP162" i="4"/>
  <c r="EO162" i="4"/>
  <c r="EN162" i="4"/>
  <c r="EM162" i="4"/>
  <c r="EL162" i="4"/>
  <c r="EK162" i="4"/>
  <c r="EJ162" i="4"/>
  <c r="EI162" i="4"/>
  <c r="EH162" i="4"/>
  <c r="EG162" i="4"/>
  <c r="EF162" i="4"/>
  <c r="EE162" i="4"/>
  <c r="ED162" i="4"/>
  <c r="EC162" i="4"/>
  <c r="EB162" i="4"/>
  <c r="EA162" i="4"/>
  <c r="DZ162" i="4"/>
  <c r="DY162" i="4"/>
  <c r="DX162" i="4"/>
  <c r="DW162" i="4"/>
  <c r="DV162" i="4"/>
  <c r="DU162" i="4"/>
  <c r="DT162" i="4"/>
  <c r="DS162" i="4"/>
  <c r="DR162" i="4"/>
  <c r="DQ162" i="4"/>
  <c r="DP162" i="4"/>
  <c r="DO162" i="4"/>
  <c r="DN162" i="4"/>
  <c r="DM162" i="4"/>
  <c r="DL162" i="4"/>
  <c r="DK162" i="4"/>
  <c r="DJ162" i="4"/>
  <c r="DI162" i="4"/>
  <c r="DH162" i="4"/>
  <c r="DG162" i="4"/>
  <c r="DF162" i="4"/>
  <c r="DE162" i="4"/>
  <c r="DD162" i="4"/>
  <c r="DC162" i="4"/>
  <c r="DB162" i="4"/>
  <c r="DA162" i="4"/>
  <c r="CZ162" i="4"/>
  <c r="CY162" i="4"/>
  <c r="CX162" i="4"/>
  <c r="CW162" i="4"/>
  <c r="CV162" i="4"/>
  <c r="CU162" i="4"/>
  <c r="CT162" i="4"/>
  <c r="CS162" i="4"/>
  <c r="CR162" i="4"/>
  <c r="CQ162" i="4"/>
  <c r="CP162" i="4"/>
  <c r="CO162" i="4"/>
  <c r="CN162" i="4"/>
  <c r="CM162" i="4"/>
  <c r="CL162" i="4"/>
  <c r="CK162" i="4"/>
  <c r="CJ162" i="4"/>
  <c r="CI162" i="4"/>
  <c r="CH162" i="4"/>
  <c r="CG162" i="4"/>
  <c r="CF162" i="4"/>
  <c r="CE162" i="4"/>
  <c r="CD162" i="4"/>
  <c r="CC162" i="4"/>
  <c r="CB162" i="4"/>
  <c r="CA162" i="4"/>
  <c r="BZ162" i="4"/>
  <c r="BY162" i="4"/>
  <c r="BX162" i="4"/>
  <c r="BW162" i="4"/>
  <c r="BV162" i="4"/>
  <c r="BU162" i="4"/>
  <c r="BT162" i="4"/>
  <c r="BS162" i="4"/>
  <c r="BR162" i="4"/>
  <c r="BQ162" i="4"/>
  <c r="BP162" i="4"/>
  <c r="BO162" i="4"/>
  <c r="BN162" i="4"/>
  <c r="BM162" i="4"/>
  <c r="BL162" i="4"/>
  <c r="BK162" i="4"/>
  <c r="BJ162" i="4"/>
  <c r="BI162" i="4"/>
  <c r="BH162" i="4"/>
  <c r="BG162" i="4"/>
  <c r="BF162" i="4"/>
  <c r="BE162" i="4"/>
  <c r="BD162" i="4"/>
  <c r="BC162" i="4"/>
  <c r="BB162" i="4"/>
  <c r="BA162" i="4"/>
  <c r="AZ162" i="4"/>
  <c r="AY162" i="4"/>
  <c r="AX162" i="4"/>
  <c r="AW162" i="4"/>
  <c r="AV162" i="4"/>
  <c r="AU162" i="4"/>
  <c r="AT162" i="4"/>
  <c r="AS162" i="4"/>
  <c r="AR162" i="4"/>
  <c r="AQ162" i="4"/>
  <c r="AP162" i="4"/>
  <c r="AO162" i="4"/>
  <c r="AN162" i="4"/>
  <c r="AM162" i="4"/>
  <c r="AL162" i="4"/>
  <c r="AK162" i="4"/>
  <c r="AJ162" i="4"/>
  <c r="AI162" i="4"/>
  <c r="AH162" i="4"/>
  <c r="AG162" i="4"/>
  <c r="AF162" i="4"/>
  <c r="AD151" i="4"/>
  <c r="AC151" i="4"/>
  <c r="AB151" i="4"/>
  <c r="AA151" i="4"/>
  <c r="Z151" i="4"/>
  <c r="Y151" i="4"/>
  <c r="X151" i="4"/>
  <c r="W151" i="4"/>
  <c r="V151" i="4"/>
  <c r="U151" i="4"/>
  <c r="T151" i="4"/>
  <c r="S151" i="4"/>
  <c r="R151" i="4"/>
  <c r="Q151" i="4"/>
  <c r="P151" i="4"/>
  <c r="O151" i="4"/>
  <c r="N151" i="4"/>
  <c r="M151" i="4"/>
  <c r="L151" i="4"/>
  <c r="I151" i="4"/>
  <c r="H151" i="4"/>
  <c r="G151" i="4"/>
  <c r="D151" i="4"/>
  <c r="C151" i="4"/>
  <c r="AD150" i="4"/>
  <c r="AC150" i="4"/>
  <c r="AB150" i="4"/>
  <c r="AA150" i="4"/>
  <c r="Z150" i="4"/>
  <c r="Y150" i="4"/>
  <c r="X150" i="4"/>
  <c r="W150" i="4"/>
  <c r="V150" i="4"/>
  <c r="U150" i="4"/>
  <c r="T150" i="4"/>
  <c r="S150" i="4"/>
  <c r="R150" i="4"/>
  <c r="Q150" i="4"/>
  <c r="P150" i="4"/>
  <c r="O150" i="4"/>
  <c r="N150" i="4"/>
  <c r="M150" i="4"/>
  <c r="L150" i="4"/>
  <c r="I150" i="4"/>
  <c r="H150" i="4"/>
  <c r="G150" i="4"/>
  <c r="D150" i="4"/>
  <c r="C150" i="4"/>
  <c r="AD149" i="4"/>
  <c r="AC149" i="4"/>
  <c r="AB149" i="4"/>
  <c r="AA149" i="4"/>
  <c r="Z149" i="4"/>
  <c r="Y149" i="4"/>
  <c r="X149" i="4"/>
  <c r="W149" i="4"/>
  <c r="V149" i="4"/>
  <c r="U149" i="4"/>
  <c r="T149" i="4"/>
  <c r="S149" i="4"/>
  <c r="R149" i="4"/>
  <c r="Q149" i="4"/>
  <c r="P149" i="4"/>
  <c r="O149" i="4"/>
  <c r="N149" i="4"/>
  <c r="M149" i="4"/>
  <c r="L149" i="4"/>
  <c r="I149" i="4"/>
  <c r="H149" i="4"/>
  <c r="G149" i="4"/>
  <c r="D149" i="4"/>
  <c r="C149" i="4"/>
  <c r="AD148" i="4"/>
  <c r="AC148" i="4"/>
  <c r="AB148" i="4"/>
  <c r="AA148" i="4"/>
  <c r="Z148" i="4"/>
  <c r="Y148" i="4"/>
  <c r="X148" i="4"/>
  <c r="W148" i="4"/>
  <c r="V148" i="4"/>
  <c r="U148" i="4"/>
  <c r="T148" i="4"/>
  <c r="S148" i="4"/>
  <c r="R148" i="4"/>
  <c r="Q148" i="4"/>
  <c r="P148" i="4"/>
  <c r="O148" i="4"/>
  <c r="N148" i="4"/>
  <c r="M148" i="4"/>
  <c r="L148" i="4"/>
  <c r="I148" i="4"/>
  <c r="H148" i="4"/>
  <c r="G148" i="4"/>
  <c r="D148" i="4"/>
  <c r="C148" i="4"/>
  <c r="AD145" i="4"/>
  <c r="AC145" i="4"/>
  <c r="AB145" i="4"/>
  <c r="AA145" i="4"/>
  <c r="Z145" i="4"/>
  <c r="Y145" i="4"/>
  <c r="X145" i="4"/>
  <c r="W145" i="4"/>
  <c r="V145" i="4"/>
  <c r="U145" i="4"/>
  <c r="T145" i="4"/>
  <c r="S145" i="4"/>
  <c r="R145" i="4"/>
  <c r="Q145" i="4"/>
  <c r="P145" i="4"/>
  <c r="O145" i="4"/>
  <c r="N145" i="4"/>
  <c r="M145" i="4"/>
  <c r="L145" i="4"/>
  <c r="I145" i="4"/>
  <c r="H145" i="4"/>
  <c r="G145" i="4"/>
  <c r="D145" i="4"/>
  <c r="C145" i="4"/>
  <c r="AD144" i="4"/>
  <c r="AC144" i="4"/>
  <c r="AB144" i="4"/>
  <c r="AA144" i="4"/>
  <c r="Z144" i="4"/>
  <c r="Y144" i="4"/>
  <c r="X144" i="4"/>
  <c r="W144" i="4"/>
  <c r="V144" i="4"/>
  <c r="U144" i="4"/>
  <c r="T144" i="4"/>
  <c r="S144" i="4"/>
  <c r="R144" i="4"/>
  <c r="Q144" i="4"/>
  <c r="P144" i="4"/>
  <c r="O144" i="4"/>
  <c r="N144" i="4"/>
  <c r="M144" i="4"/>
  <c r="L144" i="4"/>
  <c r="I144" i="4"/>
  <c r="H144" i="4"/>
  <c r="G144" i="4"/>
  <c r="D144" i="4"/>
  <c r="C144" i="4"/>
  <c r="AD143" i="4"/>
  <c r="AC143" i="4"/>
  <c r="AB143" i="4"/>
  <c r="AA143" i="4"/>
  <c r="Z143" i="4"/>
  <c r="Y143" i="4"/>
  <c r="X143" i="4"/>
  <c r="W143" i="4"/>
  <c r="V143" i="4"/>
  <c r="U143" i="4"/>
  <c r="T143" i="4"/>
  <c r="S143" i="4"/>
  <c r="R143" i="4"/>
  <c r="Q143" i="4"/>
  <c r="P143" i="4"/>
  <c r="O143" i="4"/>
  <c r="N143" i="4"/>
  <c r="M143" i="4"/>
  <c r="L143" i="4"/>
  <c r="I143" i="4"/>
  <c r="H143" i="4"/>
  <c r="G143" i="4"/>
  <c r="D143" i="4"/>
  <c r="C143" i="4"/>
  <c r="AD142" i="4"/>
  <c r="AC142" i="4"/>
  <c r="AB142" i="4"/>
  <c r="AA142" i="4"/>
  <c r="Z142" i="4"/>
  <c r="Y142" i="4"/>
  <c r="X142" i="4"/>
  <c r="W142" i="4"/>
  <c r="V142" i="4"/>
  <c r="U142" i="4"/>
  <c r="T142" i="4"/>
  <c r="S142" i="4"/>
  <c r="R142" i="4"/>
  <c r="Q142" i="4"/>
  <c r="P142" i="4"/>
  <c r="O142" i="4"/>
  <c r="N142" i="4"/>
  <c r="M142" i="4"/>
  <c r="L142" i="4"/>
  <c r="I142" i="4"/>
  <c r="H142" i="4"/>
  <c r="G142" i="4"/>
  <c r="D142" i="4"/>
  <c r="C142" i="4"/>
  <c r="AD141" i="4"/>
  <c r="AC141" i="4"/>
  <c r="AB141" i="4"/>
  <c r="AA141" i="4"/>
  <c r="Z141" i="4"/>
  <c r="Y141" i="4"/>
  <c r="X141" i="4"/>
  <c r="W141" i="4"/>
  <c r="V141" i="4"/>
  <c r="U141" i="4"/>
  <c r="T141" i="4"/>
  <c r="S141" i="4"/>
  <c r="R141" i="4"/>
  <c r="Q141" i="4"/>
  <c r="P141" i="4"/>
  <c r="O141" i="4"/>
  <c r="N141" i="4"/>
  <c r="M141" i="4"/>
  <c r="L141" i="4"/>
  <c r="I141" i="4"/>
  <c r="H141" i="4"/>
  <c r="G141" i="4"/>
  <c r="D141" i="4"/>
  <c r="C141" i="4"/>
  <c r="AD140" i="4"/>
  <c r="AC140" i="4"/>
  <c r="AB140" i="4"/>
  <c r="AA140" i="4"/>
  <c r="Z140" i="4"/>
  <c r="Y140" i="4"/>
  <c r="X140" i="4"/>
  <c r="W140" i="4"/>
  <c r="V140" i="4"/>
  <c r="U140" i="4"/>
  <c r="T140" i="4"/>
  <c r="S140" i="4"/>
  <c r="R140" i="4"/>
  <c r="Q140" i="4"/>
  <c r="P140" i="4"/>
  <c r="O140" i="4"/>
  <c r="N140" i="4"/>
  <c r="M140" i="4"/>
  <c r="L140" i="4"/>
  <c r="I140" i="4"/>
  <c r="H140" i="4"/>
  <c r="G140" i="4"/>
  <c r="D140" i="4"/>
  <c r="C140" i="4"/>
  <c r="AD139" i="4"/>
  <c r="AC139" i="4"/>
  <c r="AB139" i="4"/>
  <c r="AA139" i="4"/>
  <c r="Z139" i="4"/>
  <c r="Y139" i="4"/>
  <c r="X139" i="4"/>
  <c r="W139" i="4"/>
  <c r="V139" i="4"/>
  <c r="U139" i="4"/>
  <c r="T139" i="4"/>
  <c r="S139" i="4"/>
  <c r="R139" i="4"/>
  <c r="Q139" i="4"/>
  <c r="P139" i="4"/>
  <c r="O139" i="4"/>
  <c r="N139" i="4"/>
  <c r="M139" i="4"/>
  <c r="L139" i="4"/>
  <c r="I139" i="4"/>
  <c r="H139" i="4"/>
  <c r="G139" i="4"/>
  <c r="D139" i="4"/>
  <c r="C139" i="4"/>
  <c r="AD138" i="4"/>
  <c r="AC138" i="4"/>
  <c r="AB138" i="4"/>
  <c r="AA138" i="4"/>
  <c r="Z138" i="4"/>
  <c r="Y138" i="4"/>
  <c r="X138" i="4"/>
  <c r="W138" i="4"/>
  <c r="V138" i="4"/>
  <c r="U138" i="4"/>
  <c r="T138" i="4"/>
  <c r="S138" i="4"/>
  <c r="R138" i="4"/>
  <c r="Q138" i="4"/>
  <c r="P138" i="4"/>
  <c r="O138" i="4"/>
  <c r="N138" i="4"/>
  <c r="M138" i="4"/>
  <c r="L138" i="4"/>
  <c r="I138" i="4"/>
  <c r="H138" i="4"/>
  <c r="G138" i="4"/>
  <c r="D138" i="4"/>
  <c r="C138" i="4"/>
  <c r="AD137" i="4"/>
  <c r="AC137" i="4"/>
  <c r="AB137" i="4"/>
  <c r="AA137" i="4"/>
  <c r="Z137" i="4"/>
  <c r="Y137" i="4"/>
  <c r="X137" i="4"/>
  <c r="W137" i="4"/>
  <c r="V137" i="4"/>
  <c r="U137" i="4"/>
  <c r="T137" i="4"/>
  <c r="S137" i="4"/>
  <c r="R137" i="4"/>
  <c r="Q137" i="4"/>
  <c r="P137" i="4"/>
  <c r="O137" i="4"/>
  <c r="N137" i="4"/>
  <c r="M137" i="4"/>
  <c r="L137" i="4"/>
  <c r="I137" i="4"/>
  <c r="H137" i="4"/>
  <c r="G137" i="4"/>
  <c r="D137" i="4"/>
  <c r="C137" i="4"/>
  <c r="AD136" i="4"/>
  <c r="AC136" i="4"/>
  <c r="AB136" i="4"/>
  <c r="AA136" i="4"/>
  <c r="Z136" i="4"/>
  <c r="Y136" i="4"/>
  <c r="X136" i="4"/>
  <c r="W136" i="4"/>
  <c r="V136" i="4"/>
  <c r="U136" i="4"/>
  <c r="T136" i="4"/>
  <c r="S136" i="4"/>
  <c r="R136" i="4"/>
  <c r="Q136" i="4"/>
  <c r="P136" i="4"/>
  <c r="O136" i="4"/>
  <c r="N136" i="4"/>
  <c r="M136" i="4"/>
  <c r="L136" i="4"/>
  <c r="I136" i="4"/>
  <c r="H136" i="4"/>
  <c r="G136" i="4"/>
  <c r="D136" i="4"/>
  <c r="C136" i="4"/>
  <c r="AD135" i="4"/>
  <c r="AC135" i="4"/>
  <c r="AB135" i="4"/>
  <c r="AA135" i="4"/>
  <c r="Z135" i="4"/>
  <c r="Y135" i="4"/>
  <c r="X135" i="4"/>
  <c r="W135" i="4"/>
  <c r="V135" i="4"/>
  <c r="U135" i="4"/>
  <c r="T135" i="4"/>
  <c r="S135" i="4"/>
  <c r="R135" i="4"/>
  <c r="Q135" i="4"/>
  <c r="P135" i="4"/>
  <c r="O135" i="4"/>
  <c r="N135" i="4"/>
  <c r="M135" i="4"/>
  <c r="L135" i="4"/>
  <c r="I135" i="4"/>
  <c r="H135" i="4"/>
  <c r="G135" i="4"/>
  <c r="D135" i="4"/>
  <c r="C135" i="4"/>
  <c r="AD134" i="4"/>
  <c r="AC134" i="4"/>
  <c r="AB134" i="4"/>
  <c r="AA134" i="4"/>
  <c r="Z134" i="4"/>
  <c r="Y134" i="4"/>
  <c r="X134" i="4"/>
  <c r="W134" i="4"/>
  <c r="V134" i="4"/>
  <c r="U134" i="4"/>
  <c r="T134" i="4"/>
  <c r="S134" i="4"/>
  <c r="R134" i="4"/>
  <c r="Q134" i="4"/>
  <c r="P134" i="4"/>
  <c r="O134" i="4"/>
  <c r="N134" i="4"/>
  <c r="M134" i="4"/>
  <c r="L134" i="4"/>
  <c r="I134" i="4"/>
  <c r="H134" i="4"/>
  <c r="G134" i="4"/>
  <c r="D134" i="4"/>
  <c r="C134" i="4"/>
  <c r="AD133" i="4"/>
  <c r="AC133" i="4"/>
  <c r="AB133" i="4"/>
  <c r="AA133" i="4"/>
  <c r="Z133" i="4"/>
  <c r="Y133" i="4"/>
  <c r="X133" i="4"/>
  <c r="W133" i="4"/>
  <c r="V133" i="4"/>
  <c r="U133" i="4"/>
  <c r="T133" i="4"/>
  <c r="S133" i="4"/>
  <c r="R133" i="4"/>
  <c r="Q133" i="4"/>
  <c r="P133" i="4"/>
  <c r="O133" i="4"/>
  <c r="N133" i="4"/>
  <c r="M133" i="4"/>
  <c r="L133" i="4"/>
  <c r="I133" i="4"/>
  <c r="H133" i="4"/>
  <c r="G133" i="4"/>
  <c r="D133" i="4"/>
  <c r="C133" i="4"/>
  <c r="AD132" i="4"/>
  <c r="AC132" i="4"/>
  <c r="AB132" i="4"/>
  <c r="AA132" i="4"/>
  <c r="Z132" i="4"/>
  <c r="Y132" i="4"/>
  <c r="X132" i="4"/>
  <c r="W132" i="4"/>
  <c r="V132" i="4"/>
  <c r="U132" i="4"/>
  <c r="T132" i="4"/>
  <c r="S132" i="4"/>
  <c r="R132" i="4"/>
  <c r="Q132" i="4"/>
  <c r="P132" i="4"/>
  <c r="O132" i="4"/>
  <c r="N132" i="4"/>
  <c r="M132" i="4"/>
  <c r="L132" i="4"/>
  <c r="I132" i="4"/>
  <c r="H132" i="4"/>
  <c r="G132" i="4"/>
  <c r="D132" i="4"/>
  <c r="C132" i="4"/>
  <c r="AD131" i="4"/>
  <c r="AC131" i="4"/>
  <c r="AB131" i="4"/>
  <c r="AA131" i="4"/>
  <c r="Z131" i="4"/>
  <c r="Y131" i="4"/>
  <c r="X131" i="4"/>
  <c r="W131" i="4"/>
  <c r="V131" i="4"/>
  <c r="U131" i="4"/>
  <c r="T131" i="4"/>
  <c r="S131" i="4"/>
  <c r="R131" i="4"/>
  <c r="Q131" i="4"/>
  <c r="P131" i="4"/>
  <c r="O131" i="4"/>
  <c r="N131" i="4"/>
  <c r="M131" i="4"/>
  <c r="L131" i="4"/>
  <c r="I131" i="4"/>
  <c r="H131" i="4"/>
  <c r="G131" i="4"/>
  <c r="D131" i="4"/>
  <c r="C131" i="4"/>
  <c r="AD130" i="4"/>
  <c r="AC130" i="4"/>
  <c r="AB130" i="4"/>
  <c r="AA130" i="4"/>
  <c r="Z130" i="4"/>
  <c r="Y130" i="4"/>
  <c r="X130" i="4"/>
  <c r="W130" i="4"/>
  <c r="V130" i="4"/>
  <c r="U130" i="4"/>
  <c r="T130" i="4"/>
  <c r="S130" i="4"/>
  <c r="R130" i="4"/>
  <c r="Q130" i="4"/>
  <c r="P130" i="4"/>
  <c r="O130" i="4"/>
  <c r="N130" i="4"/>
  <c r="M130" i="4"/>
  <c r="L130" i="4"/>
  <c r="I130" i="4"/>
  <c r="H130" i="4"/>
  <c r="G130" i="4"/>
  <c r="D130" i="4"/>
  <c r="C130" i="4"/>
  <c r="AD129" i="4"/>
  <c r="AC129" i="4"/>
  <c r="AB129" i="4"/>
  <c r="AA129" i="4"/>
  <c r="Z129" i="4"/>
  <c r="Y129" i="4"/>
  <c r="X129" i="4"/>
  <c r="W129" i="4"/>
  <c r="V129" i="4"/>
  <c r="U129" i="4"/>
  <c r="T129" i="4"/>
  <c r="S129" i="4"/>
  <c r="R129" i="4"/>
  <c r="Q129" i="4"/>
  <c r="P129" i="4"/>
  <c r="O129" i="4"/>
  <c r="N129" i="4"/>
  <c r="M129" i="4"/>
  <c r="L129" i="4"/>
  <c r="I129" i="4"/>
  <c r="H129" i="4"/>
  <c r="G129" i="4"/>
  <c r="D129" i="4"/>
  <c r="C129" i="4"/>
  <c r="AD128" i="4"/>
  <c r="AC128" i="4"/>
  <c r="AB128" i="4"/>
  <c r="AA128" i="4"/>
  <c r="Z128" i="4"/>
  <c r="Y128" i="4"/>
  <c r="X128" i="4"/>
  <c r="W128" i="4"/>
  <c r="V128" i="4"/>
  <c r="U128" i="4"/>
  <c r="T128" i="4"/>
  <c r="S128" i="4"/>
  <c r="R128" i="4"/>
  <c r="Q128" i="4"/>
  <c r="P128" i="4"/>
  <c r="O128" i="4"/>
  <c r="N128" i="4"/>
  <c r="M128" i="4"/>
  <c r="L128" i="4"/>
  <c r="I128" i="4"/>
  <c r="H128" i="4"/>
  <c r="G128" i="4"/>
  <c r="D128" i="4"/>
  <c r="C128" i="4"/>
  <c r="AD127" i="4"/>
  <c r="AC127" i="4"/>
  <c r="AB127" i="4"/>
  <c r="AA127" i="4"/>
  <c r="Z127" i="4"/>
  <c r="Y127" i="4"/>
  <c r="X127" i="4"/>
  <c r="W127" i="4"/>
  <c r="V127" i="4"/>
  <c r="U127" i="4"/>
  <c r="T127" i="4"/>
  <c r="S127" i="4"/>
  <c r="R127" i="4"/>
  <c r="Q127" i="4"/>
  <c r="P127" i="4"/>
  <c r="O127" i="4"/>
  <c r="N127" i="4"/>
  <c r="M127" i="4"/>
  <c r="L127" i="4"/>
  <c r="I127" i="4"/>
  <c r="H127" i="4"/>
  <c r="G127" i="4"/>
  <c r="D127" i="4"/>
  <c r="C127" i="4"/>
  <c r="AD121" i="4"/>
  <c r="AC121" i="4"/>
  <c r="AB121" i="4"/>
  <c r="AA121" i="4"/>
  <c r="Z121" i="4"/>
  <c r="Y121" i="4"/>
  <c r="X121" i="4"/>
  <c r="W121" i="4"/>
  <c r="V121" i="4"/>
  <c r="U121" i="4"/>
  <c r="T121" i="4"/>
  <c r="S121" i="4"/>
  <c r="R121" i="4"/>
  <c r="Q121" i="4"/>
  <c r="P121" i="4"/>
  <c r="O121" i="4"/>
  <c r="N121" i="4"/>
  <c r="M121" i="4"/>
  <c r="L121" i="4"/>
  <c r="I121" i="4"/>
  <c r="H121" i="4"/>
  <c r="G121" i="4"/>
  <c r="D121" i="4"/>
  <c r="C121" i="4"/>
  <c r="AD120" i="4"/>
  <c r="AC120" i="4"/>
  <c r="AB120" i="4"/>
  <c r="AA120" i="4"/>
  <c r="Z120" i="4"/>
  <c r="Y120" i="4"/>
  <c r="X120" i="4"/>
  <c r="W120" i="4"/>
  <c r="V120" i="4"/>
  <c r="U120" i="4"/>
  <c r="T120" i="4"/>
  <c r="S120" i="4"/>
  <c r="R120" i="4"/>
  <c r="Q120" i="4"/>
  <c r="P120" i="4"/>
  <c r="O120" i="4"/>
  <c r="N120" i="4"/>
  <c r="M120" i="4"/>
  <c r="L120" i="4"/>
  <c r="I120" i="4"/>
  <c r="H120" i="4"/>
  <c r="G120" i="4"/>
  <c r="D120" i="4"/>
  <c r="C120" i="4"/>
  <c r="AD119" i="4"/>
  <c r="AC119" i="4"/>
  <c r="AB119" i="4"/>
  <c r="AA119" i="4"/>
  <c r="Z119" i="4"/>
  <c r="Y119" i="4"/>
  <c r="X119" i="4"/>
  <c r="W119" i="4"/>
  <c r="V119" i="4"/>
  <c r="U119" i="4"/>
  <c r="T119" i="4"/>
  <c r="S119" i="4"/>
  <c r="R119" i="4"/>
  <c r="Q119" i="4"/>
  <c r="P119" i="4"/>
  <c r="O119" i="4"/>
  <c r="N119" i="4"/>
  <c r="M119" i="4"/>
  <c r="L119" i="4"/>
  <c r="I119" i="4"/>
  <c r="H119" i="4"/>
  <c r="G119" i="4"/>
  <c r="D119" i="4"/>
  <c r="C119" i="4"/>
  <c r="AD118" i="4"/>
  <c r="AC118" i="4"/>
  <c r="AB118" i="4"/>
  <c r="AA118" i="4"/>
  <c r="Z118" i="4"/>
  <c r="Y118" i="4"/>
  <c r="X118" i="4"/>
  <c r="W118" i="4"/>
  <c r="V118" i="4"/>
  <c r="U118" i="4"/>
  <c r="T118" i="4"/>
  <c r="S118" i="4"/>
  <c r="R118" i="4"/>
  <c r="Q118" i="4"/>
  <c r="P118" i="4"/>
  <c r="O118" i="4"/>
  <c r="N118" i="4"/>
  <c r="M118" i="4"/>
  <c r="L118" i="4"/>
  <c r="I118" i="4"/>
  <c r="H118" i="4"/>
  <c r="G118" i="4"/>
  <c r="D118" i="4"/>
  <c r="C118" i="4"/>
  <c r="AD117" i="4"/>
  <c r="AC117" i="4"/>
  <c r="AB117" i="4"/>
  <c r="AA117" i="4"/>
  <c r="Z117" i="4"/>
  <c r="Y117" i="4"/>
  <c r="X117" i="4"/>
  <c r="W117" i="4"/>
  <c r="V117" i="4"/>
  <c r="U117" i="4"/>
  <c r="T117" i="4"/>
  <c r="S117" i="4"/>
  <c r="R117" i="4"/>
  <c r="Q117" i="4"/>
  <c r="P117" i="4"/>
  <c r="O117" i="4"/>
  <c r="N117" i="4"/>
  <c r="M117" i="4"/>
  <c r="L117" i="4"/>
  <c r="I117" i="4"/>
  <c r="H117" i="4"/>
  <c r="G117" i="4"/>
  <c r="D117" i="4"/>
  <c r="C117" i="4"/>
  <c r="AD116" i="4"/>
  <c r="AC116" i="4"/>
  <c r="AB116" i="4"/>
  <c r="AA116" i="4"/>
  <c r="Z116" i="4"/>
  <c r="Y116" i="4"/>
  <c r="X116" i="4"/>
  <c r="W116" i="4"/>
  <c r="V116" i="4"/>
  <c r="U116" i="4"/>
  <c r="T116" i="4"/>
  <c r="S116" i="4"/>
  <c r="R116" i="4"/>
  <c r="Q116" i="4"/>
  <c r="P116" i="4"/>
  <c r="O116" i="4"/>
  <c r="N116" i="4"/>
  <c r="M116" i="4"/>
  <c r="L116" i="4"/>
  <c r="I116" i="4"/>
  <c r="H116" i="4"/>
  <c r="G116" i="4"/>
  <c r="D116" i="4"/>
  <c r="C116" i="4"/>
  <c r="AD115" i="4"/>
  <c r="AC115" i="4"/>
  <c r="AB115" i="4"/>
  <c r="AA115" i="4"/>
  <c r="Z115" i="4"/>
  <c r="Y115" i="4"/>
  <c r="X115" i="4"/>
  <c r="W115" i="4"/>
  <c r="V115" i="4"/>
  <c r="U115" i="4"/>
  <c r="T115" i="4"/>
  <c r="S115" i="4"/>
  <c r="R115" i="4"/>
  <c r="Q115" i="4"/>
  <c r="P115" i="4"/>
  <c r="O115" i="4"/>
  <c r="N115" i="4"/>
  <c r="M115" i="4"/>
  <c r="L115" i="4"/>
  <c r="I115" i="4"/>
  <c r="H115" i="4"/>
  <c r="G115" i="4"/>
  <c r="D115" i="4"/>
  <c r="C115" i="4"/>
  <c r="AD113" i="4"/>
  <c r="AC113" i="4"/>
  <c r="AB113" i="4"/>
  <c r="AA113" i="4"/>
  <c r="Z113" i="4"/>
  <c r="Y113" i="4"/>
  <c r="X113" i="4"/>
  <c r="W113" i="4"/>
  <c r="V113" i="4"/>
  <c r="U113" i="4"/>
  <c r="T113" i="4"/>
  <c r="S113" i="4"/>
  <c r="R113" i="4"/>
  <c r="Q113" i="4"/>
  <c r="P113" i="4"/>
  <c r="O113" i="4"/>
  <c r="N113" i="4"/>
  <c r="M113" i="4"/>
  <c r="L113" i="4"/>
  <c r="I113" i="4"/>
  <c r="H113" i="4"/>
  <c r="G113" i="4"/>
  <c r="D113" i="4"/>
  <c r="C113" i="4"/>
  <c r="AD111" i="4"/>
  <c r="AC111" i="4"/>
  <c r="AB111" i="4"/>
  <c r="AA111" i="4"/>
  <c r="Z111" i="4"/>
  <c r="Y111" i="4"/>
  <c r="X111" i="4"/>
  <c r="W111" i="4"/>
  <c r="V111" i="4"/>
  <c r="U111" i="4"/>
  <c r="T111" i="4"/>
  <c r="S111" i="4"/>
  <c r="R111" i="4"/>
  <c r="Q111" i="4"/>
  <c r="P111" i="4"/>
  <c r="O111" i="4"/>
  <c r="N111" i="4"/>
  <c r="M111" i="4"/>
  <c r="L111" i="4"/>
  <c r="I111" i="4"/>
  <c r="H111" i="4"/>
  <c r="G111" i="4"/>
  <c r="D111" i="4"/>
  <c r="C111" i="4"/>
  <c r="AD109" i="4"/>
  <c r="AC109" i="4"/>
  <c r="AB109" i="4"/>
  <c r="AA109" i="4"/>
  <c r="Z109" i="4"/>
  <c r="Y109" i="4"/>
  <c r="X109" i="4"/>
  <c r="W109" i="4"/>
  <c r="V109" i="4"/>
  <c r="U109" i="4"/>
  <c r="T109" i="4"/>
  <c r="S109" i="4"/>
  <c r="R109" i="4"/>
  <c r="Q109" i="4"/>
  <c r="P109" i="4"/>
  <c r="O109" i="4"/>
  <c r="N109" i="4"/>
  <c r="M109" i="4"/>
  <c r="L109" i="4"/>
  <c r="I109" i="4"/>
  <c r="H109" i="4"/>
  <c r="G109" i="4"/>
  <c r="D109" i="4"/>
  <c r="C109" i="4"/>
  <c r="AD108" i="4"/>
  <c r="AC108" i="4"/>
  <c r="AB108" i="4"/>
  <c r="AA108" i="4"/>
  <c r="Z108" i="4"/>
  <c r="Y108" i="4"/>
  <c r="X108" i="4"/>
  <c r="W108" i="4"/>
  <c r="V108" i="4"/>
  <c r="U108" i="4"/>
  <c r="T108" i="4"/>
  <c r="S108" i="4"/>
  <c r="R108" i="4"/>
  <c r="Q108" i="4"/>
  <c r="P108" i="4"/>
  <c r="O108" i="4"/>
  <c r="N108" i="4"/>
  <c r="M108" i="4"/>
  <c r="L108" i="4"/>
  <c r="I108" i="4"/>
  <c r="H108" i="4"/>
  <c r="G108" i="4"/>
  <c r="D108" i="4"/>
  <c r="C108" i="4"/>
  <c r="AD107" i="4"/>
  <c r="AC107" i="4"/>
  <c r="AB107" i="4"/>
  <c r="AA107" i="4"/>
  <c r="Z107" i="4"/>
  <c r="Y107" i="4"/>
  <c r="X107" i="4"/>
  <c r="W107" i="4"/>
  <c r="V107" i="4"/>
  <c r="U107" i="4"/>
  <c r="T107" i="4"/>
  <c r="S107" i="4"/>
  <c r="R107" i="4"/>
  <c r="Q107" i="4"/>
  <c r="P107" i="4"/>
  <c r="O107" i="4"/>
  <c r="N107" i="4"/>
  <c r="M107" i="4"/>
  <c r="L107" i="4"/>
  <c r="I107" i="4"/>
  <c r="H107" i="4"/>
  <c r="G107" i="4"/>
  <c r="D107" i="4"/>
  <c r="C107" i="4"/>
  <c r="AD106" i="4"/>
  <c r="AC106" i="4"/>
  <c r="AB106" i="4"/>
  <c r="AA106" i="4"/>
  <c r="Z106" i="4"/>
  <c r="Y106" i="4"/>
  <c r="X106" i="4"/>
  <c r="W106" i="4"/>
  <c r="V106" i="4"/>
  <c r="U106" i="4"/>
  <c r="T106" i="4"/>
  <c r="S106" i="4"/>
  <c r="R106" i="4"/>
  <c r="Q106" i="4"/>
  <c r="P106" i="4"/>
  <c r="O106" i="4"/>
  <c r="N106" i="4"/>
  <c r="M106" i="4"/>
  <c r="L106" i="4"/>
  <c r="I106" i="4"/>
  <c r="H106" i="4"/>
  <c r="G106" i="4"/>
  <c r="D106" i="4"/>
  <c r="C106" i="4"/>
  <c r="AD105" i="4"/>
  <c r="AC105" i="4"/>
  <c r="AB105" i="4"/>
  <c r="AA105" i="4"/>
  <c r="Z105" i="4"/>
  <c r="Y105" i="4"/>
  <c r="X105" i="4"/>
  <c r="W105" i="4"/>
  <c r="V105" i="4"/>
  <c r="U105" i="4"/>
  <c r="T105" i="4"/>
  <c r="S105" i="4"/>
  <c r="R105" i="4"/>
  <c r="Q105" i="4"/>
  <c r="P105" i="4"/>
  <c r="O105" i="4"/>
  <c r="N105" i="4"/>
  <c r="M105" i="4"/>
  <c r="L105" i="4"/>
  <c r="I105" i="4"/>
  <c r="H105" i="4"/>
  <c r="G105" i="4"/>
  <c r="D105" i="4"/>
  <c r="C105" i="4"/>
  <c r="AD104" i="4"/>
  <c r="AC104" i="4"/>
  <c r="AB104" i="4"/>
  <c r="AA104" i="4"/>
  <c r="Z104" i="4"/>
  <c r="Y104" i="4"/>
  <c r="X104" i="4"/>
  <c r="W104" i="4"/>
  <c r="V104" i="4"/>
  <c r="U104" i="4"/>
  <c r="T104" i="4"/>
  <c r="S104" i="4"/>
  <c r="R104" i="4"/>
  <c r="Q104" i="4"/>
  <c r="P104" i="4"/>
  <c r="O104" i="4"/>
  <c r="N104" i="4"/>
  <c r="M104" i="4"/>
  <c r="L104" i="4"/>
  <c r="I104" i="4"/>
  <c r="H104" i="4"/>
  <c r="G104" i="4"/>
  <c r="D104" i="4"/>
  <c r="C104" i="4"/>
  <c r="AD103" i="4"/>
  <c r="AC103" i="4"/>
  <c r="AB103" i="4"/>
  <c r="AA103" i="4"/>
  <c r="Z103" i="4"/>
  <c r="Y103" i="4"/>
  <c r="X103" i="4"/>
  <c r="W103" i="4"/>
  <c r="V103" i="4"/>
  <c r="U103" i="4"/>
  <c r="T103" i="4"/>
  <c r="S103" i="4"/>
  <c r="R103" i="4"/>
  <c r="Q103" i="4"/>
  <c r="P103" i="4"/>
  <c r="O103" i="4"/>
  <c r="N103" i="4"/>
  <c r="M103" i="4"/>
  <c r="L103" i="4"/>
  <c r="I103" i="4"/>
  <c r="H103" i="4"/>
  <c r="G103" i="4"/>
  <c r="D103" i="4"/>
  <c r="C103" i="4"/>
  <c r="AD102" i="4"/>
  <c r="AC102" i="4"/>
  <c r="AB102" i="4"/>
  <c r="AA102" i="4"/>
  <c r="Z102" i="4"/>
  <c r="Y102" i="4"/>
  <c r="X102" i="4"/>
  <c r="W102" i="4"/>
  <c r="V102" i="4"/>
  <c r="U102" i="4"/>
  <c r="T102" i="4"/>
  <c r="S102" i="4"/>
  <c r="R102" i="4"/>
  <c r="Q102" i="4"/>
  <c r="P102" i="4"/>
  <c r="O102" i="4"/>
  <c r="N102" i="4"/>
  <c r="M102" i="4"/>
  <c r="L102" i="4"/>
  <c r="I102" i="4"/>
  <c r="H102" i="4"/>
  <c r="G102" i="4"/>
  <c r="D102" i="4"/>
  <c r="C102" i="4"/>
  <c r="AD101" i="4"/>
  <c r="AC101" i="4"/>
  <c r="AB101" i="4"/>
  <c r="AA101" i="4"/>
  <c r="Z101" i="4"/>
  <c r="Y101" i="4"/>
  <c r="X101" i="4"/>
  <c r="W101" i="4"/>
  <c r="V101" i="4"/>
  <c r="U101" i="4"/>
  <c r="T101" i="4"/>
  <c r="S101" i="4"/>
  <c r="R101" i="4"/>
  <c r="Q101" i="4"/>
  <c r="P101" i="4"/>
  <c r="O101" i="4"/>
  <c r="N101" i="4"/>
  <c r="M101" i="4"/>
  <c r="L101" i="4"/>
  <c r="I101" i="4"/>
  <c r="H101" i="4"/>
  <c r="G101" i="4"/>
  <c r="D101" i="4"/>
  <c r="C101" i="4"/>
  <c r="AD100" i="4"/>
  <c r="AC100" i="4"/>
  <c r="AB100" i="4"/>
  <c r="AA100" i="4"/>
  <c r="Z100" i="4"/>
  <c r="Y100" i="4"/>
  <c r="X100" i="4"/>
  <c r="W100" i="4"/>
  <c r="V100" i="4"/>
  <c r="U100" i="4"/>
  <c r="T100" i="4"/>
  <c r="S100" i="4"/>
  <c r="R100" i="4"/>
  <c r="Q100" i="4"/>
  <c r="P100" i="4"/>
  <c r="O100" i="4"/>
  <c r="N100" i="4"/>
  <c r="M100" i="4"/>
  <c r="L100" i="4"/>
  <c r="I100" i="4"/>
  <c r="H100" i="4"/>
  <c r="G100" i="4"/>
  <c r="D100" i="4"/>
  <c r="C100" i="4"/>
  <c r="AD99" i="4"/>
  <c r="AC99" i="4"/>
  <c r="AB99" i="4"/>
  <c r="AA99" i="4"/>
  <c r="Z99" i="4"/>
  <c r="Y99" i="4"/>
  <c r="X99" i="4"/>
  <c r="W99" i="4"/>
  <c r="V99" i="4"/>
  <c r="U99" i="4"/>
  <c r="T99" i="4"/>
  <c r="S99" i="4"/>
  <c r="R99" i="4"/>
  <c r="Q99" i="4"/>
  <c r="P99" i="4"/>
  <c r="O99" i="4"/>
  <c r="N99" i="4"/>
  <c r="M99" i="4"/>
  <c r="L99" i="4"/>
  <c r="I99" i="4"/>
  <c r="H99" i="4"/>
  <c r="G99" i="4"/>
  <c r="D99" i="4"/>
  <c r="C99" i="4"/>
  <c r="AD98" i="4"/>
  <c r="AC98" i="4"/>
  <c r="AB98" i="4"/>
  <c r="AA98" i="4"/>
  <c r="Z98" i="4"/>
  <c r="Y98" i="4"/>
  <c r="X98" i="4"/>
  <c r="W98" i="4"/>
  <c r="V98" i="4"/>
  <c r="U98" i="4"/>
  <c r="T98" i="4"/>
  <c r="S98" i="4"/>
  <c r="R98" i="4"/>
  <c r="Q98" i="4"/>
  <c r="P98" i="4"/>
  <c r="O98" i="4"/>
  <c r="N98" i="4"/>
  <c r="M98" i="4"/>
  <c r="L98" i="4"/>
  <c r="I98" i="4"/>
  <c r="H98" i="4"/>
  <c r="G98" i="4"/>
  <c r="D98" i="4"/>
  <c r="C98" i="4"/>
  <c r="AD97" i="4"/>
  <c r="AC97" i="4"/>
  <c r="AB97" i="4"/>
  <c r="AA97" i="4"/>
  <c r="Z97" i="4"/>
  <c r="Y97" i="4"/>
  <c r="X97" i="4"/>
  <c r="W97" i="4"/>
  <c r="V97" i="4"/>
  <c r="U97" i="4"/>
  <c r="T97" i="4"/>
  <c r="S97" i="4"/>
  <c r="R97" i="4"/>
  <c r="Q97" i="4"/>
  <c r="P97" i="4"/>
  <c r="O97" i="4"/>
  <c r="N97" i="4"/>
  <c r="M97" i="4"/>
  <c r="L97" i="4"/>
  <c r="I97" i="4"/>
  <c r="H97" i="4"/>
  <c r="G97" i="4"/>
  <c r="D97" i="4"/>
  <c r="C97" i="4"/>
  <c r="AD96" i="4"/>
  <c r="AC96" i="4"/>
  <c r="AB96" i="4"/>
  <c r="AA96" i="4"/>
  <c r="Z96" i="4"/>
  <c r="Y96" i="4"/>
  <c r="X96" i="4"/>
  <c r="W96" i="4"/>
  <c r="V96" i="4"/>
  <c r="U96" i="4"/>
  <c r="T96" i="4"/>
  <c r="S96" i="4"/>
  <c r="R96" i="4"/>
  <c r="Q96" i="4"/>
  <c r="P96" i="4"/>
  <c r="O96" i="4"/>
  <c r="N96" i="4"/>
  <c r="M96" i="4"/>
  <c r="L96" i="4"/>
  <c r="I96" i="4"/>
  <c r="H96" i="4"/>
  <c r="G96" i="4"/>
  <c r="D96" i="4"/>
  <c r="C96" i="4"/>
  <c r="AD95" i="4"/>
  <c r="AC95" i="4"/>
  <c r="AB95" i="4"/>
  <c r="AA95" i="4"/>
  <c r="Z95" i="4"/>
  <c r="Y95" i="4"/>
  <c r="X95" i="4"/>
  <c r="W95" i="4"/>
  <c r="V95" i="4"/>
  <c r="U95" i="4"/>
  <c r="T95" i="4"/>
  <c r="S95" i="4"/>
  <c r="R95" i="4"/>
  <c r="Q95" i="4"/>
  <c r="P95" i="4"/>
  <c r="O95" i="4"/>
  <c r="N95" i="4"/>
  <c r="M95" i="4"/>
  <c r="L95" i="4"/>
  <c r="I95" i="4"/>
  <c r="H95" i="4"/>
  <c r="G95" i="4"/>
  <c r="D95" i="4"/>
  <c r="C95" i="4"/>
  <c r="AD94" i="4"/>
  <c r="AC94" i="4"/>
  <c r="AB94" i="4"/>
  <c r="AA94" i="4"/>
  <c r="Z94" i="4"/>
  <c r="Y94" i="4"/>
  <c r="X94" i="4"/>
  <c r="W94" i="4"/>
  <c r="V94" i="4"/>
  <c r="U94" i="4"/>
  <c r="T94" i="4"/>
  <c r="S94" i="4"/>
  <c r="R94" i="4"/>
  <c r="Q94" i="4"/>
  <c r="P94" i="4"/>
  <c r="O94" i="4"/>
  <c r="N94" i="4"/>
  <c r="M94" i="4"/>
  <c r="L94" i="4"/>
  <c r="I94" i="4"/>
  <c r="H94" i="4"/>
  <c r="G94" i="4"/>
  <c r="D94" i="4"/>
  <c r="C94" i="4"/>
  <c r="AD93" i="4"/>
  <c r="AC93" i="4"/>
  <c r="AB93" i="4"/>
  <c r="AA93" i="4"/>
  <c r="Z93" i="4"/>
  <c r="Y93" i="4"/>
  <c r="X93" i="4"/>
  <c r="W93" i="4"/>
  <c r="V93" i="4"/>
  <c r="U93" i="4"/>
  <c r="T93" i="4"/>
  <c r="S93" i="4"/>
  <c r="R93" i="4"/>
  <c r="Q93" i="4"/>
  <c r="P93" i="4"/>
  <c r="O93" i="4"/>
  <c r="N93" i="4"/>
  <c r="M93" i="4"/>
  <c r="L93" i="4"/>
  <c r="I93" i="4"/>
  <c r="H93" i="4"/>
  <c r="G93" i="4"/>
  <c r="D93" i="4"/>
  <c r="C93" i="4"/>
  <c r="AD92" i="4"/>
  <c r="AC92" i="4"/>
  <c r="AB92" i="4"/>
  <c r="AA92" i="4"/>
  <c r="Z92" i="4"/>
  <c r="Y92" i="4"/>
  <c r="X92" i="4"/>
  <c r="W92" i="4"/>
  <c r="V92" i="4"/>
  <c r="U92" i="4"/>
  <c r="T92" i="4"/>
  <c r="S92" i="4"/>
  <c r="R92" i="4"/>
  <c r="Q92" i="4"/>
  <c r="P92" i="4"/>
  <c r="O92" i="4"/>
  <c r="N92" i="4"/>
  <c r="M92" i="4"/>
  <c r="L92" i="4"/>
  <c r="I92" i="4"/>
  <c r="H92" i="4"/>
  <c r="G92" i="4"/>
  <c r="D92" i="4"/>
  <c r="C92" i="4"/>
  <c r="AD91" i="4"/>
  <c r="AC91" i="4"/>
  <c r="AB91" i="4"/>
  <c r="AA91" i="4"/>
  <c r="Z91" i="4"/>
  <c r="Y91" i="4"/>
  <c r="X91" i="4"/>
  <c r="W91" i="4"/>
  <c r="V91" i="4"/>
  <c r="U91" i="4"/>
  <c r="T91" i="4"/>
  <c r="S91" i="4"/>
  <c r="R91" i="4"/>
  <c r="Q91" i="4"/>
  <c r="P91" i="4"/>
  <c r="O91" i="4"/>
  <c r="N91" i="4"/>
  <c r="M91" i="4"/>
  <c r="L91" i="4"/>
  <c r="I91" i="4"/>
  <c r="H91" i="4"/>
  <c r="G91" i="4"/>
  <c r="D91" i="4"/>
  <c r="C91" i="4"/>
  <c r="AD90" i="4"/>
  <c r="AC90" i="4"/>
  <c r="AB90" i="4"/>
  <c r="AA90" i="4"/>
  <c r="Z90" i="4"/>
  <c r="Y90" i="4"/>
  <c r="X90" i="4"/>
  <c r="W90" i="4"/>
  <c r="V90" i="4"/>
  <c r="U90" i="4"/>
  <c r="T90" i="4"/>
  <c r="S90" i="4"/>
  <c r="R90" i="4"/>
  <c r="Q90" i="4"/>
  <c r="P90" i="4"/>
  <c r="O90" i="4"/>
  <c r="N90" i="4"/>
  <c r="M90" i="4"/>
  <c r="L90" i="4"/>
  <c r="I90" i="4"/>
  <c r="H90" i="4"/>
  <c r="G90" i="4"/>
  <c r="D90" i="4"/>
  <c r="C90" i="4"/>
  <c r="AD89" i="4"/>
  <c r="AC89" i="4"/>
  <c r="AB89" i="4"/>
  <c r="AA89" i="4"/>
  <c r="Z89" i="4"/>
  <c r="Y89" i="4"/>
  <c r="X89" i="4"/>
  <c r="W89" i="4"/>
  <c r="V89" i="4"/>
  <c r="U89" i="4"/>
  <c r="T89" i="4"/>
  <c r="S89" i="4"/>
  <c r="R89" i="4"/>
  <c r="Q89" i="4"/>
  <c r="P89" i="4"/>
  <c r="O89" i="4"/>
  <c r="N89" i="4"/>
  <c r="M89" i="4"/>
  <c r="L89" i="4"/>
  <c r="I89" i="4"/>
  <c r="H89" i="4"/>
  <c r="G89" i="4"/>
  <c r="D89" i="4"/>
  <c r="C89" i="4"/>
  <c r="AD88" i="4"/>
  <c r="AC88" i="4"/>
  <c r="AB88" i="4"/>
  <c r="AA88" i="4"/>
  <c r="Z88" i="4"/>
  <c r="Y88" i="4"/>
  <c r="X88" i="4"/>
  <c r="W88" i="4"/>
  <c r="V88" i="4"/>
  <c r="U88" i="4"/>
  <c r="T88" i="4"/>
  <c r="S88" i="4"/>
  <c r="R88" i="4"/>
  <c r="Q88" i="4"/>
  <c r="P88" i="4"/>
  <c r="O88" i="4"/>
  <c r="N88" i="4"/>
  <c r="M88" i="4"/>
  <c r="L88" i="4"/>
  <c r="I88" i="4"/>
  <c r="H88" i="4"/>
  <c r="G88" i="4"/>
  <c r="D88" i="4"/>
  <c r="C88" i="4"/>
  <c r="AD87" i="4"/>
  <c r="AC87" i="4"/>
  <c r="AB87" i="4"/>
  <c r="AA87" i="4"/>
  <c r="Z87" i="4"/>
  <c r="Y87" i="4"/>
  <c r="X87" i="4"/>
  <c r="W87" i="4"/>
  <c r="V87" i="4"/>
  <c r="U87" i="4"/>
  <c r="T87" i="4"/>
  <c r="S87" i="4"/>
  <c r="R87" i="4"/>
  <c r="Q87" i="4"/>
  <c r="P87" i="4"/>
  <c r="O87" i="4"/>
  <c r="N87" i="4"/>
  <c r="M87" i="4"/>
  <c r="L87" i="4"/>
  <c r="I87" i="4"/>
  <c r="H87" i="4"/>
  <c r="G87" i="4"/>
  <c r="D87" i="4"/>
  <c r="C87" i="4"/>
  <c r="AD86" i="4"/>
  <c r="AC86" i="4"/>
  <c r="AB86" i="4"/>
  <c r="AA86" i="4"/>
  <c r="Z86" i="4"/>
  <c r="Y86" i="4"/>
  <c r="X86" i="4"/>
  <c r="W86" i="4"/>
  <c r="V86" i="4"/>
  <c r="U86" i="4"/>
  <c r="T86" i="4"/>
  <c r="S86" i="4"/>
  <c r="R86" i="4"/>
  <c r="Q86" i="4"/>
  <c r="P86" i="4"/>
  <c r="O86" i="4"/>
  <c r="N86" i="4"/>
  <c r="M86" i="4"/>
  <c r="L86" i="4"/>
  <c r="I86" i="4"/>
  <c r="H86" i="4"/>
  <c r="G86" i="4"/>
  <c r="D86" i="4"/>
  <c r="C86" i="4"/>
  <c r="AD85" i="4"/>
  <c r="AC85" i="4"/>
  <c r="AB85" i="4"/>
  <c r="AA85" i="4"/>
  <c r="Z85" i="4"/>
  <c r="Y85" i="4"/>
  <c r="X85" i="4"/>
  <c r="W85" i="4"/>
  <c r="V85" i="4"/>
  <c r="U85" i="4"/>
  <c r="T85" i="4"/>
  <c r="S85" i="4"/>
  <c r="R85" i="4"/>
  <c r="Q85" i="4"/>
  <c r="P85" i="4"/>
  <c r="O85" i="4"/>
  <c r="N85" i="4"/>
  <c r="M85" i="4"/>
  <c r="L85" i="4"/>
  <c r="I85" i="4"/>
  <c r="H85" i="4"/>
  <c r="G85" i="4"/>
  <c r="D85" i="4"/>
  <c r="C85" i="4"/>
  <c r="AD84" i="4"/>
  <c r="AC84" i="4"/>
  <c r="AB84" i="4"/>
  <c r="AA84" i="4"/>
  <c r="Z84" i="4"/>
  <c r="Y84" i="4"/>
  <c r="X84" i="4"/>
  <c r="W84" i="4"/>
  <c r="V84" i="4"/>
  <c r="U84" i="4"/>
  <c r="T84" i="4"/>
  <c r="S84" i="4"/>
  <c r="R84" i="4"/>
  <c r="Q84" i="4"/>
  <c r="P84" i="4"/>
  <c r="O84" i="4"/>
  <c r="N84" i="4"/>
  <c r="M84" i="4"/>
  <c r="L84" i="4"/>
  <c r="I84" i="4"/>
  <c r="H84" i="4"/>
  <c r="G84" i="4"/>
  <c r="D84" i="4"/>
  <c r="C84" i="4"/>
  <c r="AD83" i="4"/>
  <c r="AC83" i="4"/>
  <c r="AB83" i="4"/>
  <c r="AA83" i="4"/>
  <c r="Z83" i="4"/>
  <c r="Y83" i="4"/>
  <c r="X83" i="4"/>
  <c r="W83" i="4"/>
  <c r="V83" i="4"/>
  <c r="U83" i="4"/>
  <c r="T83" i="4"/>
  <c r="S83" i="4"/>
  <c r="R83" i="4"/>
  <c r="Q83" i="4"/>
  <c r="P83" i="4"/>
  <c r="O83" i="4"/>
  <c r="N83" i="4"/>
  <c r="M83" i="4"/>
  <c r="L83" i="4"/>
  <c r="I83" i="4"/>
  <c r="H83" i="4"/>
  <c r="G83" i="4"/>
  <c r="D83" i="4"/>
  <c r="C83" i="4"/>
  <c r="AD82" i="4"/>
  <c r="AC82" i="4"/>
  <c r="AB82" i="4"/>
  <c r="AA82" i="4"/>
  <c r="Z82" i="4"/>
  <c r="Y82" i="4"/>
  <c r="X82" i="4"/>
  <c r="W82" i="4"/>
  <c r="V82" i="4"/>
  <c r="U82" i="4"/>
  <c r="T82" i="4"/>
  <c r="S82" i="4"/>
  <c r="R82" i="4"/>
  <c r="Q82" i="4"/>
  <c r="P82" i="4"/>
  <c r="O82" i="4"/>
  <c r="N82" i="4"/>
  <c r="M82" i="4"/>
  <c r="L82" i="4"/>
  <c r="I82" i="4"/>
  <c r="H82" i="4"/>
  <c r="G82" i="4"/>
  <c r="D82" i="4"/>
  <c r="C82" i="4"/>
  <c r="AD81" i="4"/>
  <c r="AC81" i="4"/>
  <c r="AB81" i="4"/>
  <c r="AA81" i="4"/>
  <c r="Z81" i="4"/>
  <c r="Y81" i="4"/>
  <c r="X81" i="4"/>
  <c r="W81" i="4"/>
  <c r="V81" i="4"/>
  <c r="U81" i="4"/>
  <c r="T81" i="4"/>
  <c r="S81" i="4"/>
  <c r="R81" i="4"/>
  <c r="Q81" i="4"/>
  <c r="P81" i="4"/>
  <c r="O81" i="4"/>
  <c r="N81" i="4"/>
  <c r="M81" i="4"/>
  <c r="L81" i="4"/>
  <c r="I81" i="4"/>
  <c r="H81" i="4"/>
  <c r="G81" i="4"/>
  <c r="D81" i="4"/>
  <c r="C81" i="4"/>
  <c r="AD80" i="4"/>
  <c r="AC80" i="4"/>
  <c r="AB80" i="4"/>
  <c r="AA80" i="4"/>
  <c r="Z80" i="4"/>
  <c r="Y80" i="4"/>
  <c r="X80" i="4"/>
  <c r="W80" i="4"/>
  <c r="V80" i="4"/>
  <c r="U80" i="4"/>
  <c r="T80" i="4"/>
  <c r="S80" i="4"/>
  <c r="R80" i="4"/>
  <c r="Q80" i="4"/>
  <c r="P80" i="4"/>
  <c r="O80" i="4"/>
  <c r="N80" i="4"/>
  <c r="M80" i="4"/>
  <c r="L80" i="4"/>
  <c r="I80" i="4"/>
  <c r="H80" i="4"/>
  <c r="G80" i="4"/>
  <c r="D80" i="4"/>
  <c r="C80" i="4"/>
  <c r="AD79" i="4"/>
  <c r="AC79" i="4"/>
  <c r="AB79" i="4"/>
  <c r="AA79" i="4"/>
  <c r="Z79" i="4"/>
  <c r="Y79" i="4"/>
  <c r="X79" i="4"/>
  <c r="W79" i="4"/>
  <c r="V79" i="4"/>
  <c r="U79" i="4"/>
  <c r="T79" i="4"/>
  <c r="S79" i="4"/>
  <c r="R79" i="4"/>
  <c r="Q79" i="4"/>
  <c r="P79" i="4"/>
  <c r="O79" i="4"/>
  <c r="N79" i="4"/>
  <c r="M79" i="4"/>
  <c r="L79" i="4"/>
  <c r="I79" i="4"/>
  <c r="H79" i="4"/>
  <c r="G79" i="4"/>
  <c r="D79" i="4"/>
  <c r="C79" i="4"/>
  <c r="AD78" i="4"/>
  <c r="AC78" i="4"/>
  <c r="AB78" i="4"/>
  <c r="AA78" i="4"/>
  <c r="Z78" i="4"/>
  <c r="Y78" i="4"/>
  <c r="X78" i="4"/>
  <c r="W78" i="4"/>
  <c r="V78" i="4"/>
  <c r="U78" i="4"/>
  <c r="T78" i="4"/>
  <c r="S78" i="4"/>
  <c r="R78" i="4"/>
  <c r="Q78" i="4"/>
  <c r="P78" i="4"/>
  <c r="O78" i="4"/>
  <c r="N78" i="4"/>
  <c r="M78" i="4"/>
  <c r="L78" i="4"/>
  <c r="I78" i="4"/>
  <c r="H78" i="4"/>
  <c r="G78" i="4"/>
  <c r="D78" i="4"/>
  <c r="C78" i="4"/>
  <c r="AD77" i="4"/>
  <c r="AC77" i="4"/>
  <c r="AB77" i="4"/>
  <c r="AA77" i="4"/>
  <c r="Z77" i="4"/>
  <c r="Y77" i="4"/>
  <c r="X77" i="4"/>
  <c r="W77" i="4"/>
  <c r="V77" i="4"/>
  <c r="U77" i="4"/>
  <c r="T77" i="4"/>
  <c r="S77" i="4"/>
  <c r="R77" i="4"/>
  <c r="Q77" i="4"/>
  <c r="P77" i="4"/>
  <c r="O77" i="4"/>
  <c r="N77" i="4"/>
  <c r="M77" i="4"/>
  <c r="L77" i="4"/>
  <c r="I77" i="4"/>
  <c r="H77" i="4"/>
  <c r="G77" i="4"/>
  <c r="D77" i="4"/>
  <c r="C77" i="4"/>
  <c r="AD76" i="4"/>
  <c r="AC76" i="4"/>
  <c r="AB76" i="4"/>
  <c r="AA76" i="4"/>
  <c r="Z76" i="4"/>
  <c r="Y76" i="4"/>
  <c r="X76" i="4"/>
  <c r="W76" i="4"/>
  <c r="V76" i="4"/>
  <c r="U76" i="4"/>
  <c r="T76" i="4"/>
  <c r="S76" i="4"/>
  <c r="R76" i="4"/>
  <c r="Q76" i="4"/>
  <c r="P76" i="4"/>
  <c r="O76" i="4"/>
  <c r="N76" i="4"/>
  <c r="M76" i="4"/>
  <c r="L76" i="4"/>
  <c r="I76" i="4"/>
  <c r="H76" i="4"/>
  <c r="G76" i="4"/>
  <c r="D76" i="4"/>
  <c r="C76" i="4"/>
  <c r="AD75" i="4"/>
  <c r="AC75" i="4"/>
  <c r="AB75" i="4"/>
  <c r="AA75" i="4"/>
  <c r="Z75" i="4"/>
  <c r="Y75" i="4"/>
  <c r="X75" i="4"/>
  <c r="W75" i="4"/>
  <c r="V75" i="4"/>
  <c r="U75" i="4"/>
  <c r="T75" i="4"/>
  <c r="S75" i="4"/>
  <c r="R75" i="4"/>
  <c r="Q75" i="4"/>
  <c r="P75" i="4"/>
  <c r="O75" i="4"/>
  <c r="N75" i="4"/>
  <c r="M75" i="4"/>
  <c r="L75" i="4"/>
  <c r="I75" i="4"/>
  <c r="H75" i="4"/>
  <c r="G75" i="4"/>
  <c r="D75" i="4"/>
  <c r="C75" i="4"/>
  <c r="AD74" i="4"/>
  <c r="AC74" i="4"/>
  <c r="AB74" i="4"/>
  <c r="AA74" i="4"/>
  <c r="Z74" i="4"/>
  <c r="Y74" i="4"/>
  <c r="X74" i="4"/>
  <c r="W74" i="4"/>
  <c r="V74" i="4"/>
  <c r="U74" i="4"/>
  <c r="T74" i="4"/>
  <c r="S74" i="4"/>
  <c r="R74" i="4"/>
  <c r="Q74" i="4"/>
  <c r="P74" i="4"/>
  <c r="O74" i="4"/>
  <c r="N74" i="4"/>
  <c r="M74" i="4"/>
  <c r="L74" i="4"/>
  <c r="I74" i="4"/>
  <c r="H74" i="4"/>
  <c r="G74" i="4"/>
  <c r="D74" i="4"/>
  <c r="C74" i="4"/>
  <c r="AD73" i="4"/>
  <c r="AC73" i="4"/>
  <c r="AB73" i="4"/>
  <c r="AA73" i="4"/>
  <c r="Z73" i="4"/>
  <c r="Y73" i="4"/>
  <c r="X73" i="4"/>
  <c r="W73" i="4"/>
  <c r="V73" i="4"/>
  <c r="U73" i="4"/>
  <c r="T73" i="4"/>
  <c r="S73" i="4"/>
  <c r="R73" i="4"/>
  <c r="Q73" i="4"/>
  <c r="P73" i="4"/>
  <c r="O73" i="4"/>
  <c r="N73" i="4"/>
  <c r="M73" i="4"/>
  <c r="L73" i="4"/>
  <c r="I73" i="4"/>
  <c r="H73" i="4"/>
  <c r="G73" i="4"/>
  <c r="D73" i="4"/>
  <c r="C73" i="4"/>
  <c r="AD72" i="4"/>
  <c r="AC72" i="4"/>
  <c r="AB72" i="4"/>
  <c r="AA72" i="4"/>
  <c r="Z72" i="4"/>
  <c r="Y72" i="4"/>
  <c r="X72" i="4"/>
  <c r="W72" i="4"/>
  <c r="V72" i="4"/>
  <c r="U72" i="4"/>
  <c r="T72" i="4"/>
  <c r="S72" i="4"/>
  <c r="R72" i="4"/>
  <c r="Q72" i="4"/>
  <c r="P72" i="4"/>
  <c r="O72" i="4"/>
  <c r="N72" i="4"/>
  <c r="M72" i="4"/>
  <c r="L72" i="4"/>
  <c r="I72" i="4"/>
  <c r="H72" i="4"/>
  <c r="G72" i="4"/>
  <c r="D72" i="4"/>
  <c r="C72" i="4"/>
  <c r="AD71" i="4"/>
  <c r="AC71" i="4"/>
  <c r="AB71" i="4"/>
  <c r="AA71" i="4"/>
  <c r="Z71" i="4"/>
  <c r="Y71" i="4"/>
  <c r="X71" i="4"/>
  <c r="W71" i="4"/>
  <c r="V71" i="4"/>
  <c r="U71" i="4"/>
  <c r="T71" i="4"/>
  <c r="S71" i="4"/>
  <c r="R71" i="4"/>
  <c r="Q71" i="4"/>
  <c r="P71" i="4"/>
  <c r="O71" i="4"/>
  <c r="N71" i="4"/>
  <c r="M71" i="4"/>
  <c r="L71" i="4"/>
  <c r="I71" i="4"/>
  <c r="H71" i="4"/>
  <c r="G71" i="4"/>
  <c r="D71" i="4"/>
  <c r="C71" i="4"/>
  <c r="AD70" i="4"/>
  <c r="AC70" i="4"/>
  <c r="AB70" i="4"/>
  <c r="AA70" i="4"/>
  <c r="Z70" i="4"/>
  <c r="Y70" i="4"/>
  <c r="X70" i="4"/>
  <c r="W70" i="4"/>
  <c r="V70" i="4"/>
  <c r="U70" i="4"/>
  <c r="T70" i="4"/>
  <c r="S70" i="4"/>
  <c r="R70" i="4"/>
  <c r="Q70" i="4"/>
  <c r="P70" i="4"/>
  <c r="O70" i="4"/>
  <c r="N70" i="4"/>
  <c r="M70" i="4"/>
  <c r="L70" i="4"/>
  <c r="I70" i="4"/>
  <c r="H70" i="4"/>
  <c r="G70" i="4"/>
  <c r="D70" i="4"/>
  <c r="C70" i="4"/>
  <c r="AD69" i="4"/>
  <c r="AC69" i="4"/>
  <c r="AB69" i="4"/>
  <c r="AA69" i="4"/>
  <c r="Z69" i="4"/>
  <c r="Y69" i="4"/>
  <c r="X69" i="4"/>
  <c r="W69" i="4"/>
  <c r="V69" i="4"/>
  <c r="U69" i="4"/>
  <c r="T69" i="4"/>
  <c r="S69" i="4"/>
  <c r="R69" i="4"/>
  <c r="Q69" i="4"/>
  <c r="P69" i="4"/>
  <c r="O69" i="4"/>
  <c r="N69" i="4"/>
  <c r="M69" i="4"/>
  <c r="L69" i="4"/>
  <c r="I69" i="4"/>
  <c r="H69" i="4"/>
  <c r="G69" i="4"/>
  <c r="D69" i="4"/>
  <c r="C69" i="4"/>
  <c r="AD68" i="4"/>
  <c r="AC68" i="4"/>
  <c r="AB68" i="4"/>
  <c r="AA68" i="4"/>
  <c r="Z68" i="4"/>
  <c r="Y68" i="4"/>
  <c r="X68" i="4"/>
  <c r="W68" i="4"/>
  <c r="V68" i="4"/>
  <c r="U68" i="4"/>
  <c r="T68" i="4"/>
  <c r="S68" i="4"/>
  <c r="R68" i="4"/>
  <c r="Q68" i="4"/>
  <c r="P68" i="4"/>
  <c r="O68" i="4"/>
  <c r="N68" i="4"/>
  <c r="M68" i="4"/>
  <c r="L68" i="4"/>
  <c r="I68" i="4"/>
  <c r="H68" i="4"/>
  <c r="G68" i="4"/>
  <c r="D68" i="4"/>
  <c r="C68" i="4"/>
  <c r="AD66" i="4"/>
  <c r="AC66" i="4"/>
  <c r="AB66" i="4"/>
  <c r="AA66" i="4"/>
  <c r="Z66" i="4"/>
  <c r="Y66" i="4"/>
  <c r="X66" i="4"/>
  <c r="W66" i="4"/>
  <c r="V66" i="4"/>
  <c r="U66" i="4"/>
  <c r="T66" i="4"/>
  <c r="S66" i="4"/>
  <c r="R66" i="4"/>
  <c r="Q66" i="4"/>
  <c r="P66" i="4"/>
  <c r="O66" i="4"/>
  <c r="N66" i="4"/>
  <c r="M66" i="4"/>
  <c r="L66" i="4"/>
  <c r="I66" i="4"/>
  <c r="H66" i="4"/>
  <c r="G66" i="4"/>
  <c r="D66" i="4"/>
  <c r="C66" i="4"/>
  <c r="AD65" i="4"/>
  <c r="AC65" i="4"/>
  <c r="AB65" i="4"/>
  <c r="AA65" i="4"/>
  <c r="Z65" i="4"/>
  <c r="Y65" i="4"/>
  <c r="X65" i="4"/>
  <c r="W65" i="4"/>
  <c r="V65" i="4"/>
  <c r="U65" i="4"/>
  <c r="T65" i="4"/>
  <c r="S65" i="4"/>
  <c r="R65" i="4"/>
  <c r="Q65" i="4"/>
  <c r="P65" i="4"/>
  <c r="O65" i="4"/>
  <c r="N65" i="4"/>
  <c r="M65" i="4"/>
  <c r="L65" i="4"/>
  <c r="I65" i="4"/>
  <c r="H65" i="4"/>
  <c r="G65" i="4"/>
  <c r="D65" i="4"/>
  <c r="C65" i="4"/>
  <c r="AD64" i="4"/>
  <c r="AC64" i="4"/>
  <c r="AB64" i="4"/>
  <c r="AA64" i="4"/>
  <c r="Z64" i="4"/>
  <c r="Y64" i="4"/>
  <c r="X64" i="4"/>
  <c r="W64" i="4"/>
  <c r="V64" i="4"/>
  <c r="U64" i="4"/>
  <c r="T64" i="4"/>
  <c r="S64" i="4"/>
  <c r="R64" i="4"/>
  <c r="Q64" i="4"/>
  <c r="P64" i="4"/>
  <c r="O64" i="4"/>
  <c r="N64" i="4"/>
  <c r="M64" i="4"/>
  <c r="L64" i="4"/>
  <c r="I64" i="4"/>
  <c r="H64" i="4"/>
  <c r="G64" i="4"/>
  <c r="D64" i="4"/>
  <c r="C64" i="4"/>
  <c r="AD63" i="4"/>
  <c r="AC63" i="4"/>
  <c r="AB63" i="4"/>
  <c r="AA63" i="4"/>
  <c r="Z63" i="4"/>
  <c r="Y63" i="4"/>
  <c r="X63" i="4"/>
  <c r="W63" i="4"/>
  <c r="V63" i="4"/>
  <c r="U63" i="4"/>
  <c r="T63" i="4"/>
  <c r="S63" i="4"/>
  <c r="R63" i="4"/>
  <c r="Q63" i="4"/>
  <c r="P63" i="4"/>
  <c r="O63" i="4"/>
  <c r="N63" i="4"/>
  <c r="M63" i="4"/>
  <c r="L63" i="4"/>
  <c r="I63" i="4"/>
  <c r="H63" i="4"/>
  <c r="G63" i="4"/>
  <c r="D63" i="4"/>
  <c r="C63" i="4"/>
  <c r="AD62" i="4"/>
  <c r="AC62" i="4"/>
  <c r="AB62" i="4"/>
  <c r="AA62" i="4"/>
  <c r="Z62" i="4"/>
  <c r="Y62" i="4"/>
  <c r="X62" i="4"/>
  <c r="W62" i="4"/>
  <c r="V62" i="4"/>
  <c r="U62" i="4"/>
  <c r="T62" i="4"/>
  <c r="S62" i="4"/>
  <c r="R62" i="4"/>
  <c r="Q62" i="4"/>
  <c r="P62" i="4"/>
  <c r="O62" i="4"/>
  <c r="N62" i="4"/>
  <c r="M62" i="4"/>
  <c r="L62" i="4"/>
  <c r="I62" i="4"/>
  <c r="H62" i="4"/>
  <c r="G62" i="4"/>
  <c r="D62" i="4"/>
  <c r="C62" i="4"/>
  <c r="AD61" i="4"/>
  <c r="AC61" i="4"/>
  <c r="AB61" i="4"/>
  <c r="AA61" i="4"/>
  <c r="Z61" i="4"/>
  <c r="Y61" i="4"/>
  <c r="X61" i="4"/>
  <c r="W61" i="4"/>
  <c r="V61" i="4"/>
  <c r="U61" i="4"/>
  <c r="T61" i="4"/>
  <c r="S61" i="4"/>
  <c r="R61" i="4"/>
  <c r="Q61" i="4"/>
  <c r="P61" i="4"/>
  <c r="O61" i="4"/>
  <c r="N61" i="4"/>
  <c r="M61" i="4"/>
  <c r="L61" i="4"/>
  <c r="I61" i="4"/>
  <c r="H61" i="4"/>
  <c r="G61" i="4"/>
  <c r="D61" i="4"/>
  <c r="C61" i="4"/>
  <c r="AD60" i="4"/>
  <c r="AC60" i="4"/>
  <c r="AB60" i="4"/>
  <c r="AA60" i="4"/>
  <c r="Z60" i="4"/>
  <c r="Y60" i="4"/>
  <c r="X60" i="4"/>
  <c r="W60" i="4"/>
  <c r="V60" i="4"/>
  <c r="U60" i="4"/>
  <c r="T60" i="4"/>
  <c r="S60" i="4"/>
  <c r="R60" i="4"/>
  <c r="Q60" i="4"/>
  <c r="P60" i="4"/>
  <c r="O60" i="4"/>
  <c r="N60" i="4"/>
  <c r="M60" i="4"/>
  <c r="L60" i="4"/>
  <c r="I60" i="4"/>
  <c r="H60" i="4"/>
  <c r="G60" i="4"/>
  <c r="D60" i="4"/>
  <c r="C60" i="4"/>
  <c r="AD59" i="4"/>
  <c r="AC59" i="4"/>
  <c r="AB59" i="4"/>
  <c r="AA59" i="4"/>
  <c r="Z59" i="4"/>
  <c r="Y59" i="4"/>
  <c r="X59" i="4"/>
  <c r="W59" i="4"/>
  <c r="V59" i="4"/>
  <c r="U59" i="4"/>
  <c r="T59" i="4"/>
  <c r="S59" i="4"/>
  <c r="R59" i="4"/>
  <c r="Q59" i="4"/>
  <c r="P59" i="4"/>
  <c r="O59" i="4"/>
  <c r="N59" i="4"/>
  <c r="M59" i="4"/>
  <c r="L59" i="4"/>
  <c r="I59" i="4"/>
  <c r="H59" i="4"/>
  <c r="G59" i="4"/>
  <c r="D59" i="4"/>
  <c r="C59" i="4"/>
  <c r="AD58" i="4"/>
  <c r="AC58" i="4"/>
  <c r="AB58" i="4"/>
  <c r="AA58" i="4"/>
  <c r="Z58" i="4"/>
  <c r="Y58" i="4"/>
  <c r="X58" i="4"/>
  <c r="W58" i="4"/>
  <c r="V58" i="4"/>
  <c r="U58" i="4"/>
  <c r="T58" i="4"/>
  <c r="S58" i="4"/>
  <c r="R58" i="4"/>
  <c r="Q58" i="4"/>
  <c r="P58" i="4"/>
  <c r="O58" i="4"/>
  <c r="N58" i="4"/>
  <c r="M58" i="4"/>
  <c r="L58" i="4"/>
  <c r="I58" i="4"/>
  <c r="H58" i="4"/>
  <c r="G58" i="4"/>
  <c r="D58" i="4"/>
  <c r="C58" i="4"/>
  <c r="AD57" i="4"/>
  <c r="AC57" i="4"/>
  <c r="AB57" i="4"/>
  <c r="AA57" i="4"/>
  <c r="Z57" i="4"/>
  <c r="Y57" i="4"/>
  <c r="X57" i="4"/>
  <c r="W57" i="4"/>
  <c r="V57" i="4"/>
  <c r="U57" i="4"/>
  <c r="T57" i="4"/>
  <c r="S57" i="4"/>
  <c r="R57" i="4"/>
  <c r="Q57" i="4"/>
  <c r="P57" i="4"/>
  <c r="O57" i="4"/>
  <c r="N57" i="4"/>
  <c r="M57" i="4"/>
  <c r="L57" i="4"/>
  <c r="I57" i="4"/>
  <c r="H57" i="4"/>
  <c r="G57" i="4"/>
  <c r="D57" i="4"/>
  <c r="C57" i="4"/>
  <c r="AD56" i="4"/>
  <c r="AC56" i="4"/>
  <c r="AB56" i="4"/>
  <c r="AA56" i="4"/>
  <c r="Z56" i="4"/>
  <c r="Y56" i="4"/>
  <c r="X56" i="4"/>
  <c r="W56" i="4"/>
  <c r="V56" i="4"/>
  <c r="U56" i="4"/>
  <c r="T56" i="4"/>
  <c r="S56" i="4"/>
  <c r="R56" i="4"/>
  <c r="Q56" i="4"/>
  <c r="P56" i="4"/>
  <c r="O56" i="4"/>
  <c r="N56" i="4"/>
  <c r="M56" i="4"/>
  <c r="L56" i="4"/>
  <c r="I56" i="4"/>
  <c r="H56" i="4"/>
  <c r="G56" i="4"/>
  <c r="D56" i="4"/>
  <c r="C56" i="4"/>
  <c r="AD55" i="4"/>
  <c r="AC55" i="4"/>
  <c r="AB55" i="4"/>
  <c r="AA55" i="4"/>
  <c r="Z55" i="4"/>
  <c r="Y55" i="4"/>
  <c r="X55" i="4"/>
  <c r="W55" i="4"/>
  <c r="V55" i="4"/>
  <c r="U55" i="4"/>
  <c r="T55" i="4"/>
  <c r="S55" i="4"/>
  <c r="R55" i="4"/>
  <c r="Q55" i="4"/>
  <c r="P55" i="4"/>
  <c r="O55" i="4"/>
  <c r="N55" i="4"/>
  <c r="M55" i="4"/>
  <c r="L55" i="4"/>
  <c r="I55" i="4"/>
  <c r="H55" i="4"/>
  <c r="G55" i="4"/>
  <c r="D55" i="4"/>
  <c r="C55" i="4"/>
  <c r="AD54" i="4"/>
  <c r="AC54" i="4"/>
  <c r="AB54" i="4"/>
  <c r="AA54" i="4"/>
  <c r="Z54" i="4"/>
  <c r="Y54" i="4"/>
  <c r="X54" i="4"/>
  <c r="W54" i="4"/>
  <c r="V54" i="4"/>
  <c r="U54" i="4"/>
  <c r="T54" i="4"/>
  <c r="S54" i="4"/>
  <c r="R54" i="4"/>
  <c r="Q54" i="4"/>
  <c r="P54" i="4"/>
  <c r="O54" i="4"/>
  <c r="N54" i="4"/>
  <c r="M54" i="4"/>
  <c r="L54" i="4"/>
  <c r="I54" i="4"/>
  <c r="H54" i="4"/>
  <c r="G54" i="4"/>
  <c r="D54" i="4"/>
  <c r="C54" i="4"/>
  <c r="AD53" i="4"/>
  <c r="AC53" i="4"/>
  <c r="AB53" i="4"/>
  <c r="AA53" i="4"/>
  <c r="Z53" i="4"/>
  <c r="Y53" i="4"/>
  <c r="X53" i="4"/>
  <c r="W53" i="4"/>
  <c r="V53" i="4"/>
  <c r="U53" i="4"/>
  <c r="T53" i="4"/>
  <c r="S53" i="4"/>
  <c r="R53" i="4"/>
  <c r="Q53" i="4"/>
  <c r="P53" i="4"/>
  <c r="O53" i="4"/>
  <c r="N53" i="4"/>
  <c r="M53" i="4"/>
  <c r="L53" i="4"/>
  <c r="I53" i="4"/>
  <c r="H53" i="4"/>
  <c r="G53" i="4"/>
  <c r="D53" i="4"/>
  <c r="C53" i="4"/>
  <c r="AD52" i="4"/>
  <c r="AC52" i="4"/>
  <c r="AB52" i="4"/>
  <c r="AA52" i="4"/>
  <c r="Z52" i="4"/>
  <c r="Y52" i="4"/>
  <c r="X52" i="4"/>
  <c r="W52" i="4"/>
  <c r="V52" i="4"/>
  <c r="U52" i="4"/>
  <c r="T52" i="4"/>
  <c r="S52" i="4"/>
  <c r="R52" i="4"/>
  <c r="Q52" i="4"/>
  <c r="P52" i="4"/>
  <c r="O52" i="4"/>
  <c r="N52" i="4"/>
  <c r="M52" i="4"/>
  <c r="L52" i="4"/>
  <c r="I52" i="4"/>
  <c r="H52" i="4"/>
  <c r="G52" i="4"/>
  <c r="D52" i="4"/>
  <c r="C52" i="4"/>
  <c r="AD51" i="4"/>
  <c r="AC51" i="4"/>
  <c r="AB51" i="4"/>
  <c r="AA51" i="4"/>
  <c r="Z51" i="4"/>
  <c r="Y51" i="4"/>
  <c r="X51" i="4"/>
  <c r="W51" i="4"/>
  <c r="V51" i="4"/>
  <c r="U51" i="4"/>
  <c r="T51" i="4"/>
  <c r="S51" i="4"/>
  <c r="R51" i="4"/>
  <c r="Q51" i="4"/>
  <c r="P51" i="4"/>
  <c r="O51" i="4"/>
  <c r="N51" i="4"/>
  <c r="M51" i="4"/>
  <c r="L51" i="4"/>
  <c r="I51" i="4"/>
  <c r="H51" i="4"/>
  <c r="G51" i="4"/>
  <c r="D51" i="4"/>
  <c r="C51" i="4"/>
  <c r="AD50" i="4"/>
  <c r="AC50" i="4"/>
  <c r="AB50" i="4"/>
  <c r="AA50" i="4"/>
  <c r="Z50" i="4"/>
  <c r="Y50" i="4"/>
  <c r="X50" i="4"/>
  <c r="W50" i="4"/>
  <c r="V50" i="4"/>
  <c r="U50" i="4"/>
  <c r="T50" i="4"/>
  <c r="S50" i="4"/>
  <c r="R50" i="4"/>
  <c r="Q50" i="4"/>
  <c r="P50" i="4"/>
  <c r="O50" i="4"/>
  <c r="N50" i="4"/>
  <c r="M50" i="4"/>
  <c r="L50" i="4"/>
  <c r="I50" i="4"/>
  <c r="H50" i="4"/>
  <c r="G50" i="4"/>
  <c r="D50" i="4"/>
  <c r="C50" i="4"/>
  <c r="AD49" i="4"/>
  <c r="AC49" i="4"/>
  <c r="AB49" i="4"/>
  <c r="AA49" i="4"/>
  <c r="Z49" i="4"/>
  <c r="Y49" i="4"/>
  <c r="X49" i="4"/>
  <c r="W49" i="4"/>
  <c r="V49" i="4"/>
  <c r="U49" i="4"/>
  <c r="T49" i="4"/>
  <c r="S49" i="4"/>
  <c r="R49" i="4"/>
  <c r="Q49" i="4"/>
  <c r="P49" i="4"/>
  <c r="O49" i="4"/>
  <c r="N49" i="4"/>
  <c r="M49" i="4"/>
  <c r="L49" i="4"/>
  <c r="I49" i="4"/>
  <c r="H49" i="4"/>
  <c r="G49" i="4"/>
  <c r="D49" i="4"/>
  <c r="C49" i="4"/>
  <c r="AD48" i="4"/>
  <c r="AC48" i="4"/>
  <c r="AB48" i="4"/>
  <c r="AA48" i="4"/>
  <c r="Z48" i="4"/>
  <c r="Y48" i="4"/>
  <c r="X48" i="4"/>
  <c r="W48" i="4"/>
  <c r="V48" i="4"/>
  <c r="U48" i="4"/>
  <c r="T48" i="4"/>
  <c r="S48" i="4"/>
  <c r="R48" i="4"/>
  <c r="Q48" i="4"/>
  <c r="P48" i="4"/>
  <c r="O48" i="4"/>
  <c r="N48" i="4"/>
  <c r="M48" i="4"/>
  <c r="L48" i="4"/>
  <c r="I48" i="4"/>
  <c r="H48" i="4"/>
  <c r="G48" i="4"/>
  <c r="D48" i="4"/>
  <c r="C48" i="4"/>
  <c r="AD47" i="4"/>
  <c r="AC47" i="4"/>
  <c r="AB47" i="4"/>
  <c r="AA47" i="4"/>
  <c r="Z47" i="4"/>
  <c r="Y47" i="4"/>
  <c r="X47" i="4"/>
  <c r="W47" i="4"/>
  <c r="V47" i="4"/>
  <c r="U47" i="4"/>
  <c r="T47" i="4"/>
  <c r="S47" i="4"/>
  <c r="R47" i="4"/>
  <c r="Q47" i="4"/>
  <c r="P47" i="4"/>
  <c r="O47" i="4"/>
  <c r="N47" i="4"/>
  <c r="M47" i="4"/>
  <c r="L47" i="4"/>
  <c r="I47" i="4"/>
  <c r="H47" i="4"/>
  <c r="G47" i="4"/>
  <c r="D47" i="4"/>
  <c r="C47" i="4"/>
  <c r="AD46" i="4"/>
  <c r="AC46" i="4"/>
  <c r="AB46" i="4"/>
  <c r="AA46" i="4"/>
  <c r="Z46" i="4"/>
  <c r="Y46" i="4"/>
  <c r="X46" i="4"/>
  <c r="W46" i="4"/>
  <c r="V46" i="4"/>
  <c r="U46" i="4"/>
  <c r="T46" i="4"/>
  <c r="S46" i="4"/>
  <c r="R46" i="4"/>
  <c r="Q46" i="4"/>
  <c r="P46" i="4"/>
  <c r="O46" i="4"/>
  <c r="N46" i="4"/>
  <c r="M46" i="4"/>
  <c r="L46" i="4"/>
  <c r="I46" i="4"/>
  <c r="H46" i="4"/>
  <c r="G46" i="4"/>
  <c r="D46" i="4"/>
  <c r="C46" i="4"/>
  <c r="AD45" i="4"/>
  <c r="AC45" i="4"/>
  <c r="AB45" i="4"/>
  <c r="AA45" i="4"/>
  <c r="Z45" i="4"/>
  <c r="Y45" i="4"/>
  <c r="X45" i="4"/>
  <c r="W45" i="4"/>
  <c r="V45" i="4"/>
  <c r="U45" i="4"/>
  <c r="T45" i="4"/>
  <c r="S45" i="4"/>
  <c r="R45" i="4"/>
  <c r="Q45" i="4"/>
  <c r="P45" i="4"/>
  <c r="O45" i="4"/>
  <c r="N45" i="4"/>
  <c r="M45" i="4"/>
  <c r="L45" i="4"/>
  <c r="I45" i="4"/>
  <c r="H45" i="4"/>
  <c r="G45" i="4"/>
  <c r="D45" i="4"/>
  <c r="C45" i="4"/>
  <c r="AD44" i="4"/>
  <c r="AC44" i="4"/>
  <c r="AB44" i="4"/>
  <c r="AA44" i="4"/>
  <c r="Z44" i="4"/>
  <c r="Y44" i="4"/>
  <c r="X44" i="4"/>
  <c r="W44" i="4"/>
  <c r="V44" i="4"/>
  <c r="U44" i="4"/>
  <c r="T44" i="4"/>
  <c r="S44" i="4"/>
  <c r="R44" i="4"/>
  <c r="Q44" i="4"/>
  <c r="P44" i="4"/>
  <c r="O44" i="4"/>
  <c r="N44" i="4"/>
  <c r="M44" i="4"/>
  <c r="L44" i="4"/>
  <c r="I44" i="4"/>
  <c r="H44" i="4"/>
  <c r="G44" i="4"/>
  <c r="D44" i="4"/>
  <c r="C44" i="4"/>
  <c r="AD43" i="4"/>
  <c r="AC43" i="4"/>
  <c r="AB43" i="4"/>
  <c r="AA43" i="4"/>
  <c r="Z43" i="4"/>
  <c r="Y43" i="4"/>
  <c r="X43" i="4"/>
  <c r="W43" i="4"/>
  <c r="V43" i="4"/>
  <c r="U43" i="4"/>
  <c r="T43" i="4"/>
  <c r="S43" i="4"/>
  <c r="R43" i="4"/>
  <c r="Q43" i="4"/>
  <c r="P43" i="4"/>
  <c r="O43" i="4"/>
  <c r="N43" i="4"/>
  <c r="M43" i="4"/>
  <c r="L43" i="4"/>
  <c r="I43" i="4"/>
  <c r="H43" i="4"/>
  <c r="G43" i="4"/>
  <c r="D43" i="4"/>
  <c r="C43" i="4"/>
  <c r="AD42" i="4"/>
  <c r="AC42" i="4"/>
  <c r="AB42" i="4"/>
  <c r="AA42" i="4"/>
  <c r="Z42" i="4"/>
  <c r="Y42" i="4"/>
  <c r="X42" i="4"/>
  <c r="W42" i="4"/>
  <c r="V42" i="4"/>
  <c r="U42" i="4"/>
  <c r="T42" i="4"/>
  <c r="S42" i="4"/>
  <c r="R42" i="4"/>
  <c r="Q42" i="4"/>
  <c r="P42" i="4"/>
  <c r="O42" i="4"/>
  <c r="N42" i="4"/>
  <c r="M42" i="4"/>
  <c r="L42" i="4"/>
  <c r="I42" i="4"/>
  <c r="H42" i="4"/>
  <c r="G42" i="4"/>
  <c r="D42" i="4"/>
  <c r="C42" i="4"/>
  <c r="AD41" i="4"/>
  <c r="AC41" i="4"/>
  <c r="AB41" i="4"/>
  <c r="AA41" i="4"/>
  <c r="Z41" i="4"/>
  <c r="Y41" i="4"/>
  <c r="X41" i="4"/>
  <c r="W41" i="4"/>
  <c r="V41" i="4"/>
  <c r="U41" i="4"/>
  <c r="T41" i="4"/>
  <c r="S41" i="4"/>
  <c r="R41" i="4"/>
  <c r="Q41" i="4"/>
  <c r="P41" i="4"/>
  <c r="O41" i="4"/>
  <c r="N41" i="4"/>
  <c r="M41" i="4"/>
  <c r="L41" i="4"/>
  <c r="I41" i="4"/>
  <c r="H41" i="4"/>
  <c r="G41" i="4"/>
  <c r="D41" i="4"/>
  <c r="C41" i="4"/>
  <c r="AD40" i="4"/>
  <c r="AC40" i="4"/>
  <c r="AB40" i="4"/>
  <c r="AA40" i="4"/>
  <c r="Z40" i="4"/>
  <c r="Y40" i="4"/>
  <c r="X40" i="4"/>
  <c r="W40" i="4"/>
  <c r="V40" i="4"/>
  <c r="U40" i="4"/>
  <c r="T40" i="4"/>
  <c r="S40" i="4"/>
  <c r="R40" i="4"/>
  <c r="Q40" i="4"/>
  <c r="P40" i="4"/>
  <c r="O40" i="4"/>
  <c r="N40" i="4"/>
  <c r="M40" i="4"/>
  <c r="L40" i="4"/>
  <c r="I40" i="4"/>
  <c r="H40" i="4"/>
  <c r="G40" i="4"/>
  <c r="D40" i="4"/>
  <c r="C40" i="4"/>
  <c r="AD39" i="4"/>
  <c r="AC39" i="4"/>
  <c r="AB39" i="4"/>
  <c r="AA39" i="4"/>
  <c r="Z39" i="4"/>
  <c r="Y39" i="4"/>
  <c r="X39" i="4"/>
  <c r="W39" i="4"/>
  <c r="V39" i="4"/>
  <c r="U39" i="4"/>
  <c r="T39" i="4"/>
  <c r="S39" i="4"/>
  <c r="R39" i="4"/>
  <c r="Q39" i="4"/>
  <c r="P39" i="4"/>
  <c r="O39" i="4"/>
  <c r="N39" i="4"/>
  <c r="M39" i="4"/>
  <c r="L39" i="4"/>
  <c r="I39" i="4"/>
  <c r="H39" i="4"/>
  <c r="G39" i="4"/>
  <c r="D39" i="4"/>
  <c r="C39" i="4"/>
  <c r="AD38" i="4"/>
  <c r="AC38" i="4"/>
  <c r="AB38" i="4"/>
  <c r="AA38" i="4"/>
  <c r="Z38" i="4"/>
  <c r="Y38" i="4"/>
  <c r="X38" i="4"/>
  <c r="W38" i="4"/>
  <c r="V38" i="4"/>
  <c r="U38" i="4"/>
  <c r="T38" i="4"/>
  <c r="S38" i="4"/>
  <c r="R38" i="4"/>
  <c r="Q38" i="4"/>
  <c r="P38" i="4"/>
  <c r="O38" i="4"/>
  <c r="N38" i="4"/>
  <c r="M38" i="4"/>
  <c r="L38" i="4"/>
  <c r="I38" i="4"/>
  <c r="H38" i="4"/>
  <c r="G38" i="4"/>
  <c r="D38" i="4"/>
  <c r="C38" i="4"/>
  <c r="AD37" i="4"/>
  <c r="AC37" i="4"/>
  <c r="AB37" i="4"/>
  <c r="AA37" i="4"/>
  <c r="Z37" i="4"/>
  <c r="Y37" i="4"/>
  <c r="X37" i="4"/>
  <c r="W37" i="4"/>
  <c r="V37" i="4"/>
  <c r="U37" i="4"/>
  <c r="T37" i="4"/>
  <c r="S37" i="4"/>
  <c r="R37" i="4"/>
  <c r="Q37" i="4"/>
  <c r="P37" i="4"/>
  <c r="O37" i="4"/>
  <c r="N37" i="4"/>
  <c r="M37" i="4"/>
  <c r="L37" i="4"/>
  <c r="I37" i="4"/>
  <c r="H37" i="4"/>
  <c r="G37" i="4"/>
  <c r="D37" i="4"/>
  <c r="C37" i="4"/>
  <c r="AD36" i="4"/>
  <c r="AC36" i="4"/>
  <c r="AB36" i="4"/>
  <c r="AA36" i="4"/>
  <c r="Z36" i="4"/>
  <c r="Y36" i="4"/>
  <c r="X36" i="4"/>
  <c r="W36" i="4"/>
  <c r="V36" i="4"/>
  <c r="U36" i="4"/>
  <c r="T36" i="4"/>
  <c r="S36" i="4"/>
  <c r="R36" i="4"/>
  <c r="Q36" i="4"/>
  <c r="P36" i="4"/>
  <c r="O36" i="4"/>
  <c r="N36" i="4"/>
  <c r="M36" i="4"/>
  <c r="L36" i="4"/>
  <c r="I36" i="4"/>
  <c r="H36" i="4"/>
  <c r="G36" i="4"/>
  <c r="D36" i="4"/>
  <c r="C36" i="4"/>
  <c r="AD35" i="4"/>
  <c r="AC35" i="4"/>
  <c r="AB35" i="4"/>
  <c r="AA35" i="4"/>
  <c r="Z35" i="4"/>
  <c r="Y35" i="4"/>
  <c r="X35" i="4"/>
  <c r="W35" i="4"/>
  <c r="V35" i="4"/>
  <c r="U35" i="4"/>
  <c r="T35" i="4"/>
  <c r="S35" i="4"/>
  <c r="R35" i="4"/>
  <c r="Q35" i="4"/>
  <c r="P35" i="4"/>
  <c r="O35" i="4"/>
  <c r="N35" i="4"/>
  <c r="M35" i="4"/>
  <c r="L35" i="4"/>
  <c r="I35" i="4"/>
  <c r="H35" i="4"/>
  <c r="G35" i="4"/>
  <c r="D35" i="4"/>
  <c r="C35" i="4"/>
  <c r="AD34" i="4"/>
  <c r="AC34" i="4"/>
  <c r="AB34" i="4"/>
  <c r="AA34" i="4"/>
  <c r="Z34" i="4"/>
  <c r="Y34" i="4"/>
  <c r="X34" i="4"/>
  <c r="W34" i="4"/>
  <c r="V34" i="4"/>
  <c r="U34" i="4"/>
  <c r="T34" i="4"/>
  <c r="S34" i="4"/>
  <c r="R34" i="4"/>
  <c r="Q34" i="4"/>
  <c r="P34" i="4"/>
  <c r="O34" i="4"/>
  <c r="N34" i="4"/>
  <c r="M34" i="4"/>
  <c r="L34" i="4"/>
  <c r="I34" i="4"/>
  <c r="H34" i="4"/>
  <c r="G34" i="4"/>
  <c r="D34" i="4"/>
  <c r="C34" i="4"/>
  <c r="AD33" i="4"/>
  <c r="AC33" i="4"/>
  <c r="AB33" i="4"/>
  <c r="AA33" i="4"/>
  <c r="Z33" i="4"/>
  <c r="Y33" i="4"/>
  <c r="X33" i="4"/>
  <c r="W33" i="4"/>
  <c r="V33" i="4"/>
  <c r="U33" i="4"/>
  <c r="T33" i="4"/>
  <c r="S33" i="4"/>
  <c r="R33" i="4"/>
  <c r="Q33" i="4"/>
  <c r="P33" i="4"/>
  <c r="O33" i="4"/>
  <c r="N33" i="4"/>
  <c r="M33" i="4"/>
  <c r="L33" i="4"/>
  <c r="I33" i="4"/>
  <c r="H33" i="4"/>
  <c r="G33" i="4"/>
  <c r="D33" i="4"/>
  <c r="C33" i="4"/>
  <c r="AD32" i="4"/>
  <c r="AC32" i="4"/>
  <c r="AB32" i="4"/>
  <c r="AA32" i="4"/>
  <c r="Z32" i="4"/>
  <c r="Y32" i="4"/>
  <c r="X32" i="4"/>
  <c r="W32" i="4"/>
  <c r="V32" i="4"/>
  <c r="U32" i="4"/>
  <c r="T32" i="4"/>
  <c r="S32" i="4"/>
  <c r="R32" i="4"/>
  <c r="Q32" i="4"/>
  <c r="P32" i="4"/>
  <c r="O32" i="4"/>
  <c r="N32" i="4"/>
  <c r="M32" i="4"/>
  <c r="L32" i="4"/>
  <c r="I32" i="4"/>
  <c r="H32" i="4"/>
  <c r="G32" i="4"/>
  <c r="D32" i="4"/>
  <c r="C32" i="4"/>
  <c r="AD31" i="4"/>
  <c r="AC31" i="4"/>
  <c r="AB31" i="4"/>
  <c r="AA31" i="4"/>
  <c r="Z31" i="4"/>
  <c r="Y31" i="4"/>
  <c r="X31" i="4"/>
  <c r="W31" i="4"/>
  <c r="V31" i="4"/>
  <c r="U31" i="4"/>
  <c r="T31" i="4"/>
  <c r="S31" i="4"/>
  <c r="R31" i="4"/>
  <c r="Q31" i="4"/>
  <c r="P31" i="4"/>
  <c r="O31" i="4"/>
  <c r="N31" i="4"/>
  <c r="M31" i="4"/>
  <c r="L31" i="4"/>
  <c r="I31" i="4"/>
  <c r="H31" i="4"/>
  <c r="G31" i="4"/>
  <c r="D31" i="4"/>
  <c r="C31" i="4"/>
  <c r="AD30" i="4"/>
  <c r="AC30" i="4"/>
  <c r="AB30" i="4"/>
  <c r="AA30" i="4"/>
  <c r="Z30" i="4"/>
  <c r="Y30" i="4"/>
  <c r="X30" i="4"/>
  <c r="W30" i="4"/>
  <c r="V30" i="4"/>
  <c r="U30" i="4"/>
  <c r="T30" i="4"/>
  <c r="S30" i="4"/>
  <c r="R30" i="4"/>
  <c r="Q30" i="4"/>
  <c r="P30" i="4"/>
  <c r="O30" i="4"/>
  <c r="N30" i="4"/>
  <c r="M30" i="4"/>
  <c r="L30" i="4"/>
  <c r="I30" i="4"/>
  <c r="H30" i="4"/>
  <c r="G30" i="4"/>
  <c r="D30" i="4"/>
  <c r="C30" i="4"/>
  <c r="AD29" i="4"/>
  <c r="AC29" i="4"/>
  <c r="AB29" i="4"/>
  <c r="AA29" i="4"/>
  <c r="Z29" i="4"/>
  <c r="Y29" i="4"/>
  <c r="X29" i="4"/>
  <c r="W29" i="4"/>
  <c r="V29" i="4"/>
  <c r="U29" i="4"/>
  <c r="T29" i="4"/>
  <c r="S29" i="4"/>
  <c r="R29" i="4"/>
  <c r="Q29" i="4"/>
  <c r="P29" i="4"/>
  <c r="O29" i="4"/>
  <c r="N29" i="4"/>
  <c r="M29" i="4"/>
  <c r="L29" i="4"/>
  <c r="I29" i="4"/>
  <c r="H29" i="4"/>
  <c r="G29" i="4"/>
  <c r="D29" i="4"/>
  <c r="C29" i="4"/>
  <c r="AD28" i="4"/>
  <c r="AC28" i="4"/>
  <c r="AB28" i="4"/>
  <c r="AA28" i="4"/>
  <c r="Z28" i="4"/>
  <c r="Y28" i="4"/>
  <c r="X28" i="4"/>
  <c r="W28" i="4"/>
  <c r="V28" i="4"/>
  <c r="U28" i="4"/>
  <c r="T28" i="4"/>
  <c r="S28" i="4"/>
  <c r="R28" i="4"/>
  <c r="Q28" i="4"/>
  <c r="P28" i="4"/>
  <c r="O28" i="4"/>
  <c r="N28" i="4"/>
  <c r="M28" i="4"/>
  <c r="L28" i="4"/>
  <c r="I28" i="4"/>
  <c r="H28" i="4"/>
  <c r="G28" i="4"/>
  <c r="D28" i="4"/>
  <c r="C28" i="4"/>
  <c r="AD27" i="4"/>
  <c r="AC27" i="4"/>
  <c r="AB27" i="4"/>
  <c r="AA27" i="4"/>
  <c r="Z27" i="4"/>
  <c r="Y27" i="4"/>
  <c r="X27" i="4"/>
  <c r="W27" i="4"/>
  <c r="V27" i="4"/>
  <c r="U27" i="4"/>
  <c r="T27" i="4"/>
  <c r="S27" i="4"/>
  <c r="R27" i="4"/>
  <c r="Q27" i="4"/>
  <c r="P27" i="4"/>
  <c r="O27" i="4"/>
  <c r="N27" i="4"/>
  <c r="M27" i="4"/>
  <c r="L27" i="4"/>
  <c r="I27" i="4"/>
  <c r="H27" i="4"/>
  <c r="G27" i="4"/>
  <c r="D27" i="4"/>
  <c r="C27" i="4"/>
  <c r="AD26" i="4"/>
  <c r="AC26" i="4"/>
  <c r="AB26" i="4"/>
  <c r="AA26" i="4"/>
  <c r="Z26" i="4"/>
  <c r="Y26" i="4"/>
  <c r="X26" i="4"/>
  <c r="W26" i="4"/>
  <c r="V26" i="4"/>
  <c r="U26" i="4"/>
  <c r="T26" i="4"/>
  <c r="S26" i="4"/>
  <c r="R26" i="4"/>
  <c r="Q26" i="4"/>
  <c r="P26" i="4"/>
  <c r="O26" i="4"/>
  <c r="N26" i="4"/>
  <c r="M26" i="4"/>
  <c r="L26" i="4"/>
  <c r="I26" i="4"/>
  <c r="H26" i="4"/>
  <c r="G26" i="4"/>
  <c r="D26" i="4"/>
  <c r="C26" i="4"/>
  <c r="AD25" i="4"/>
  <c r="AC25" i="4"/>
  <c r="AB25" i="4"/>
  <c r="AA25" i="4"/>
  <c r="Z25" i="4"/>
  <c r="Y25" i="4"/>
  <c r="X25" i="4"/>
  <c r="W25" i="4"/>
  <c r="V25" i="4"/>
  <c r="U25" i="4"/>
  <c r="T25" i="4"/>
  <c r="S25" i="4"/>
  <c r="R25" i="4"/>
  <c r="Q25" i="4"/>
  <c r="P25" i="4"/>
  <c r="O25" i="4"/>
  <c r="N25" i="4"/>
  <c r="M25" i="4"/>
  <c r="L25" i="4"/>
  <c r="I25" i="4"/>
  <c r="H25" i="4"/>
  <c r="G25" i="4"/>
  <c r="D25" i="4"/>
  <c r="C25" i="4"/>
  <c r="AD24" i="4"/>
  <c r="AC24" i="4"/>
  <c r="AB24" i="4"/>
  <c r="AA24" i="4"/>
  <c r="Z24" i="4"/>
  <c r="Y24" i="4"/>
  <c r="X24" i="4"/>
  <c r="W24" i="4"/>
  <c r="V24" i="4"/>
  <c r="U24" i="4"/>
  <c r="T24" i="4"/>
  <c r="S24" i="4"/>
  <c r="R24" i="4"/>
  <c r="Q24" i="4"/>
  <c r="P24" i="4"/>
  <c r="O24" i="4"/>
  <c r="N24" i="4"/>
  <c r="M24" i="4"/>
  <c r="L24" i="4"/>
  <c r="I24" i="4"/>
  <c r="H24" i="4"/>
  <c r="G24" i="4"/>
  <c r="D24" i="4"/>
  <c r="C24" i="4"/>
  <c r="AD23" i="4"/>
  <c r="AC23" i="4"/>
  <c r="AB23" i="4"/>
  <c r="AA23" i="4"/>
  <c r="Z23" i="4"/>
  <c r="Y23" i="4"/>
  <c r="X23" i="4"/>
  <c r="W23" i="4"/>
  <c r="V23" i="4"/>
  <c r="U23" i="4"/>
  <c r="T23" i="4"/>
  <c r="S23" i="4"/>
  <c r="R23" i="4"/>
  <c r="Q23" i="4"/>
  <c r="P23" i="4"/>
  <c r="O23" i="4"/>
  <c r="N23" i="4"/>
  <c r="M23" i="4"/>
  <c r="L23" i="4"/>
  <c r="I23" i="4"/>
  <c r="H23" i="4"/>
  <c r="G23" i="4"/>
  <c r="D23" i="4"/>
  <c r="C23" i="4"/>
  <c r="AD22" i="4"/>
  <c r="AC22" i="4"/>
  <c r="AB22" i="4"/>
  <c r="AA22" i="4"/>
  <c r="Z22" i="4"/>
  <c r="Y22" i="4"/>
  <c r="X22" i="4"/>
  <c r="W22" i="4"/>
  <c r="V22" i="4"/>
  <c r="U22" i="4"/>
  <c r="T22" i="4"/>
  <c r="S22" i="4"/>
  <c r="R22" i="4"/>
  <c r="Q22" i="4"/>
  <c r="P22" i="4"/>
  <c r="O22" i="4"/>
  <c r="N22" i="4"/>
  <c r="M22" i="4"/>
  <c r="L22" i="4"/>
  <c r="I22" i="4"/>
  <c r="H22" i="4"/>
  <c r="G22" i="4"/>
  <c r="D22" i="4"/>
  <c r="C22" i="4"/>
  <c r="AD21" i="4"/>
  <c r="AC21" i="4"/>
  <c r="AB21" i="4"/>
  <c r="AA21" i="4"/>
  <c r="Z21" i="4"/>
  <c r="Y21" i="4"/>
  <c r="X21" i="4"/>
  <c r="W21" i="4"/>
  <c r="V21" i="4"/>
  <c r="U21" i="4"/>
  <c r="T21" i="4"/>
  <c r="S21" i="4"/>
  <c r="R21" i="4"/>
  <c r="Q21" i="4"/>
  <c r="P21" i="4"/>
  <c r="O21" i="4"/>
  <c r="N21" i="4"/>
  <c r="M21" i="4"/>
  <c r="L21" i="4"/>
  <c r="I21" i="4"/>
  <c r="H21" i="4"/>
  <c r="G21" i="4"/>
  <c r="D21" i="4"/>
  <c r="C21" i="4"/>
  <c r="AD20" i="4"/>
  <c r="AC20" i="4"/>
  <c r="AB20" i="4"/>
  <c r="AA20" i="4"/>
  <c r="Z20" i="4"/>
  <c r="Y20" i="4"/>
  <c r="X20" i="4"/>
  <c r="W20" i="4"/>
  <c r="V20" i="4"/>
  <c r="U20" i="4"/>
  <c r="T20" i="4"/>
  <c r="S20" i="4"/>
  <c r="R20" i="4"/>
  <c r="Q20" i="4"/>
  <c r="P20" i="4"/>
  <c r="O20" i="4"/>
  <c r="N20" i="4"/>
  <c r="M20" i="4"/>
  <c r="L20" i="4"/>
  <c r="I20" i="4"/>
  <c r="H20" i="4"/>
  <c r="G20" i="4"/>
  <c r="D20" i="4"/>
  <c r="C20" i="4"/>
  <c r="AD19" i="4"/>
  <c r="AC19" i="4"/>
  <c r="AB19" i="4"/>
  <c r="AA19" i="4"/>
  <c r="Z19" i="4"/>
  <c r="Y19" i="4"/>
  <c r="X19" i="4"/>
  <c r="W19" i="4"/>
  <c r="V19" i="4"/>
  <c r="U19" i="4"/>
  <c r="T19" i="4"/>
  <c r="S19" i="4"/>
  <c r="R19" i="4"/>
  <c r="Q19" i="4"/>
  <c r="P19" i="4"/>
  <c r="O19" i="4"/>
  <c r="N19" i="4"/>
  <c r="M19" i="4"/>
  <c r="L19" i="4"/>
  <c r="I19" i="4"/>
  <c r="H19" i="4"/>
  <c r="G19" i="4"/>
  <c r="D19" i="4"/>
  <c r="C19" i="4"/>
  <c r="AD18" i="4"/>
  <c r="AC18" i="4"/>
  <c r="AB18" i="4"/>
  <c r="AA18" i="4"/>
  <c r="Z18" i="4"/>
  <c r="Y18" i="4"/>
  <c r="X18" i="4"/>
  <c r="W18" i="4"/>
  <c r="V18" i="4"/>
  <c r="U18" i="4"/>
  <c r="T18" i="4"/>
  <c r="S18" i="4"/>
  <c r="R18" i="4"/>
  <c r="Q18" i="4"/>
  <c r="P18" i="4"/>
  <c r="O18" i="4"/>
  <c r="N18" i="4"/>
  <c r="M18" i="4"/>
  <c r="L18" i="4"/>
  <c r="I18" i="4"/>
  <c r="H18" i="4"/>
  <c r="G18" i="4"/>
  <c r="D18" i="4"/>
  <c r="C18" i="4"/>
  <c r="AD17" i="4"/>
  <c r="AC17" i="4"/>
  <c r="AB17" i="4"/>
  <c r="AA17" i="4"/>
  <c r="Z17" i="4"/>
  <c r="Y17" i="4"/>
  <c r="X17" i="4"/>
  <c r="W17" i="4"/>
  <c r="V17" i="4"/>
  <c r="U17" i="4"/>
  <c r="T17" i="4"/>
  <c r="S17" i="4"/>
  <c r="R17" i="4"/>
  <c r="Q17" i="4"/>
  <c r="P17" i="4"/>
  <c r="O17" i="4"/>
  <c r="N17" i="4"/>
  <c r="M17" i="4"/>
  <c r="L17" i="4"/>
  <c r="I17" i="4"/>
  <c r="H17" i="4"/>
  <c r="G17" i="4"/>
  <c r="D17" i="4"/>
  <c r="C17" i="4"/>
  <c r="AD16" i="4"/>
  <c r="AC16" i="4"/>
  <c r="AB16" i="4"/>
  <c r="AA16" i="4"/>
  <c r="Z16" i="4"/>
  <c r="Y16" i="4"/>
  <c r="X16" i="4"/>
  <c r="W16" i="4"/>
  <c r="V16" i="4"/>
  <c r="U16" i="4"/>
  <c r="T16" i="4"/>
  <c r="S16" i="4"/>
  <c r="R16" i="4"/>
  <c r="Q16" i="4"/>
  <c r="P16" i="4"/>
  <c r="O16" i="4"/>
  <c r="N16" i="4"/>
  <c r="M16" i="4"/>
  <c r="L16" i="4"/>
  <c r="I16" i="4"/>
  <c r="H16" i="4"/>
  <c r="G16" i="4"/>
  <c r="D16" i="4"/>
  <c r="C16" i="4"/>
  <c r="AD15" i="4"/>
  <c r="AC15" i="4"/>
  <c r="AB15" i="4"/>
  <c r="AA15" i="4"/>
  <c r="Z15" i="4"/>
  <c r="Y15" i="4"/>
  <c r="X15" i="4"/>
  <c r="W15" i="4"/>
  <c r="V15" i="4"/>
  <c r="U15" i="4"/>
  <c r="T15" i="4"/>
  <c r="S15" i="4"/>
  <c r="R15" i="4"/>
  <c r="Q15" i="4"/>
  <c r="P15" i="4"/>
  <c r="O15" i="4"/>
  <c r="N15" i="4"/>
  <c r="M15" i="4"/>
  <c r="L15" i="4"/>
  <c r="I15" i="4"/>
  <c r="H15" i="4"/>
  <c r="G15" i="4"/>
  <c r="D15" i="4"/>
  <c r="C15" i="4"/>
  <c r="AD14" i="4"/>
  <c r="AC14" i="4"/>
  <c r="AB14" i="4"/>
  <c r="AA14" i="4"/>
  <c r="Z14" i="4"/>
  <c r="Y14" i="4"/>
  <c r="X14" i="4"/>
  <c r="W14" i="4"/>
  <c r="V14" i="4"/>
  <c r="U14" i="4"/>
  <c r="T14" i="4"/>
  <c r="S14" i="4"/>
  <c r="R14" i="4"/>
  <c r="Q14" i="4"/>
  <c r="P14" i="4"/>
  <c r="O14" i="4"/>
  <c r="N14" i="4"/>
  <c r="M14" i="4"/>
  <c r="L14" i="4"/>
  <c r="I14" i="4"/>
  <c r="H14" i="4"/>
  <c r="G14" i="4"/>
  <c r="D14" i="4"/>
  <c r="C14" i="4"/>
  <c r="AD13" i="4"/>
  <c r="AC13" i="4"/>
  <c r="AB13" i="4"/>
  <c r="AA13" i="4"/>
  <c r="Z13" i="4"/>
  <c r="Y13" i="4"/>
  <c r="X13" i="4"/>
  <c r="W13" i="4"/>
  <c r="V13" i="4"/>
  <c r="U13" i="4"/>
  <c r="T13" i="4"/>
  <c r="S13" i="4"/>
  <c r="R13" i="4"/>
  <c r="Q13" i="4"/>
  <c r="P13" i="4"/>
  <c r="O13" i="4"/>
  <c r="N13" i="4"/>
  <c r="M13" i="4"/>
  <c r="L13" i="4"/>
  <c r="I13" i="4"/>
  <c r="H13" i="4"/>
  <c r="G13" i="4"/>
  <c r="D13" i="4"/>
  <c r="C13" i="4"/>
  <c r="AD12" i="4"/>
  <c r="AC12" i="4"/>
  <c r="AB12" i="4"/>
  <c r="AA12" i="4"/>
  <c r="Z12" i="4"/>
  <c r="Y12" i="4"/>
  <c r="X12" i="4"/>
  <c r="W12" i="4"/>
  <c r="V12" i="4"/>
  <c r="U12" i="4"/>
  <c r="T12" i="4"/>
  <c r="S12" i="4"/>
  <c r="R12" i="4"/>
  <c r="Q12" i="4"/>
  <c r="P12" i="4"/>
  <c r="O12" i="4"/>
  <c r="N12" i="4"/>
  <c r="M12" i="4"/>
  <c r="L12" i="4"/>
  <c r="I12" i="4"/>
  <c r="H12" i="4"/>
  <c r="G12" i="4"/>
  <c r="D12" i="4"/>
  <c r="C12" i="4"/>
  <c r="AD11" i="4"/>
  <c r="AC11" i="4"/>
  <c r="AB11" i="4"/>
  <c r="AA11" i="4"/>
  <c r="Z11" i="4"/>
  <c r="Y11" i="4"/>
  <c r="X11" i="4"/>
  <c r="W11" i="4"/>
  <c r="V11" i="4"/>
  <c r="U11" i="4"/>
  <c r="T11" i="4"/>
  <c r="S11" i="4"/>
  <c r="R11" i="4"/>
  <c r="Q11" i="4"/>
  <c r="P11" i="4"/>
  <c r="O11" i="4"/>
  <c r="N11" i="4"/>
  <c r="M11" i="4"/>
  <c r="L11" i="4"/>
  <c r="I11" i="4"/>
  <c r="H11" i="4"/>
  <c r="G11" i="4"/>
  <c r="D11" i="4"/>
  <c r="C11" i="4"/>
  <c r="AD10" i="4"/>
  <c r="AC10" i="4"/>
  <c r="AB10" i="4"/>
  <c r="AA10" i="4"/>
  <c r="Z10" i="4"/>
  <c r="Y10" i="4"/>
  <c r="X10" i="4"/>
  <c r="W10" i="4"/>
  <c r="V10" i="4"/>
  <c r="U10" i="4"/>
  <c r="T10" i="4"/>
  <c r="S10" i="4"/>
  <c r="R10" i="4"/>
  <c r="Q10" i="4"/>
  <c r="P10" i="4"/>
  <c r="O10" i="4"/>
  <c r="N10" i="4"/>
  <c r="M10" i="4"/>
  <c r="L10" i="4"/>
  <c r="I10" i="4"/>
  <c r="H10" i="4"/>
  <c r="G10" i="4"/>
  <c r="D10" i="4"/>
  <c r="C10" i="4"/>
  <c r="AD9" i="4"/>
  <c r="AC9" i="4"/>
  <c r="AB9" i="4"/>
  <c r="AA9" i="4"/>
  <c r="Z9" i="4"/>
  <c r="Y9" i="4"/>
  <c r="X9" i="4"/>
  <c r="W9" i="4"/>
  <c r="V9" i="4"/>
  <c r="U9" i="4"/>
  <c r="T9" i="4"/>
  <c r="S9" i="4"/>
  <c r="R9" i="4"/>
  <c r="Q9" i="4"/>
  <c r="P9" i="4"/>
  <c r="O9" i="4"/>
  <c r="N9" i="4"/>
  <c r="M9" i="4"/>
  <c r="L9" i="4"/>
  <c r="I9" i="4"/>
  <c r="H9" i="4"/>
  <c r="G9" i="4"/>
  <c r="D9" i="4"/>
  <c r="C9" i="4"/>
  <c r="AD8" i="4"/>
  <c r="AC8" i="4"/>
  <c r="AB8" i="4"/>
  <c r="AA8" i="4"/>
  <c r="Z8" i="4"/>
  <c r="Y8" i="4"/>
  <c r="X8" i="4"/>
  <c r="W8" i="4"/>
  <c r="V8" i="4"/>
  <c r="U8" i="4"/>
  <c r="T8" i="4"/>
  <c r="S8" i="4"/>
  <c r="R8" i="4"/>
  <c r="Q8" i="4"/>
  <c r="P8" i="4"/>
  <c r="O8" i="4"/>
  <c r="N8" i="4"/>
  <c r="M8" i="4"/>
  <c r="L8" i="4"/>
  <c r="I8" i="4"/>
  <c r="H8" i="4"/>
  <c r="G8" i="4"/>
  <c r="D8" i="4"/>
  <c r="C8" i="4"/>
  <c r="AD7" i="4"/>
  <c r="AC7" i="4"/>
  <c r="AB7" i="4"/>
  <c r="AA7" i="4"/>
  <c r="Z7" i="4"/>
  <c r="Y7" i="4"/>
  <c r="X7" i="4"/>
  <c r="W7" i="4"/>
  <c r="V7" i="4"/>
  <c r="U7" i="4"/>
  <c r="T7" i="4"/>
  <c r="S7" i="4"/>
  <c r="R7" i="4"/>
  <c r="Q7" i="4"/>
  <c r="P7" i="4"/>
  <c r="O7" i="4"/>
  <c r="N7" i="4"/>
  <c r="M7" i="4"/>
  <c r="L7" i="4"/>
  <c r="I7" i="4"/>
  <c r="H7" i="4"/>
  <c r="G7" i="4"/>
  <c r="D7" i="4"/>
  <c r="C7" i="4"/>
  <c r="AD6" i="4"/>
  <c r="AC6" i="4"/>
  <c r="AB6" i="4"/>
  <c r="AA6" i="4"/>
  <c r="Z6" i="4"/>
  <c r="Y6" i="4"/>
  <c r="X6" i="4"/>
  <c r="W6" i="4"/>
  <c r="V6" i="4"/>
  <c r="U6" i="4"/>
  <c r="T6" i="4"/>
  <c r="S6" i="4"/>
  <c r="R6" i="4"/>
  <c r="Q6" i="4"/>
  <c r="P6" i="4"/>
  <c r="O6" i="4"/>
  <c r="N6" i="4"/>
  <c r="M6" i="4"/>
  <c r="L6" i="4"/>
  <c r="I6" i="4"/>
  <c r="H6" i="4"/>
  <c r="G6" i="4"/>
  <c r="D6" i="4"/>
  <c r="C6" i="4"/>
  <c r="AD5" i="4"/>
  <c r="AC5" i="4"/>
  <c r="AB5" i="4"/>
  <c r="AA5" i="4"/>
  <c r="Z5" i="4"/>
  <c r="Y5" i="4"/>
  <c r="X5" i="4"/>
  <c r="W5" i="4"/>
  <c r="V5" i="4"/>
  <c r="U5" i="4"/>
  <c r="T5" i="4"/>
  <c r="S5" i="4"/>
  <c r="R5" i="4"/>
  <c r="Q5" i="4"/>
  <c r="P5" i="4"/>
  <c r="O5" i="4"/>
  <c r="N5" i="4"/>
  <c r="M5" i="4"/>
  <c r="L5" i="4"/>
  <c r="I5" i="4"/>
  <c r="H5" i="4"/>
  <c r="G5" i="4"/>
  <c r="D5" i="4"/>
  <c r="C5" i="4"/>
  <c r="D24" i="8"/>
  <c r="D22" i="8"/>
  <c r="R41" i="15" l="1"/>
  <c r="R42" i="15"/>
  <c r="S40" i="15"/>
  <c r="AD162" i="4"/>
  <c r="V162" i="4"/>
  <c r="AB162" i="4"/>
  <c r="AC162" i="4"/>
  <c r="W162" i="4"/>
  <c r="X162" i="4"/>
  <c r="Y162" i="4"/>
  <c r="Z162" i="4"/>
  <c r="AA162" i="4"/>
  <c r="U162" i="4"/>
  <c r="S162" i="4"/>
  <c r="T162" i="4"/>
  <c r="R162" i="4"/>
  <c r="P162" i="4"/>
  <c r="Q162" i="4"/>
  <c r="N162" i="4"/>
  <c r="M162" i="4"/>
  <c r="O162" i="4"/>
  <c r="L162" i="4"/>
  <c r="D162" i="4"/>
  <c r="G162" i="4"/>
  <c r="H162" i="4"/>
  <c r="C162" i="4"/>
  <c r="I162" i="4"/>
  <c r="D277" i="3"/>
  <c r="D288" i="3" l="1"/>
  <c r="B3" i="16"/>
  <c r="S42" i="15"/>
  <c r="S41" i="15"/>
  <c r="T40" i="15"/>
  <c r="G211" i="3"/>
  <c r="D17" i="14" s="1"/>
  <c r="D289" i="3" l="1"/>
  <c r="B4" i="16"/>
  <c r="T41" i="15"/>
  <c r="T42" i="15"/>
  <c r="U40" i="15"/>
  <c r="D290" i="3" l="1"/>
  <c r="B5" i="16"/>
  <c r="V40" i="15"/>
  <c r="U42" i="15"/>
  <c r="U41" i="15"/>
  <c r="G185" i="3"/>
  <c r="G210" i="3" a="1"/>
  <c r="G209" i="3" a="1"/>
  <c r="G205" i="3" a="1"/>
  <c r="E7" i="17" l="1"/>
  <c r="F7" i="17" s="1"/>
  <c r="E5" i="17"/>
  <c r="F5" i="17" s="1"/>
  <c r="D291" i="3"/>
  <c r="B6" i="16"/>
  <c r="V42" i="15"/>
  <c r="W40" i="15"/>
  <c r="V41" i="15"/>
  <c r="E16" i="13"/>
  <c r="E16" i="14"/>
  <c r="G210" i="3"/>
  <c r="G209" i="3"/>
  <c r="G204" i="3"/>
  <c r="G205" i="3"/>
  <c r="F17" i="14" s="1"/>
  <c r="C17" i="11"/>
  <c r="C15" i="11"/>
  <c r="C1" i="11"/>
  <c r="C35" i="11"/>
  <c r="C28" i="11"/>
  <c r="C25" i="11"/>
  <c r="D25" i="11" s="1"/>
  <c r="D23" i="11"/>
  <c r="D22" i="11"/>
  <c r="D20" i="11"/>
  <c r="E16" i="11"/>
  <c r="C16" i="11"/>
  <c r="D15" i="11"/>
  <c r="D12" i="11"/>
  <c r="E10" i="11"/>
  <c r="C9" i="11"/>
  <c r="C8" i="11"/>
  <c r="C6" i="11"/>
  <c r="G216" i="3" a="1"/>
  <c r="C6" i="14" l="1"/>
  <c r="E10" i="17"/>
  <c r="F10" i="17" s="1"/>
  <c r="D292" i="3"/>
  <c r="B7" i="16"/>
  <c r="E19" i="17"/>
  <c r="F19" i="17" s="1"/>
  <c r="E18" i="17"/>
  <c r="F18" i="17" s="1"/>
  <c r="W42" i="15"/>
  <c r="X40" i="15"/>
  <c r="W41" i="15"/>
  <c r="C16" i="13"/>
  <c r="C16" i="14"/>
  <c r="G212" i="3"/>
  <c r="E15" i="17" s="1"/>
  <c r="F15" i="17" s="1"/>
  <c r="C17" i="14"/>
  <c r="C6" i="13"/>
  <c r="G206" i="3" a="1"/>
  <c r="G206" i="3" s="1"/>
  <c r="G207" i="3" s="1" a="1"/>
  <c r="G207" i="3" s="1"/>
  <c r="G216" i="3"/>
  <c r="Z106" i="9"/>
  <c r="G215" i="3" a="1"/>
  <c r="D293" i="3" l="1"/>
  <c r="B8" i="16"/>
  <c r="X41" i="15"/>
  <c r="Y40" i="15"/>
  <c r="X42" i="15"/>
  <c r="G215" i="3"/>
  <c r="C207" i="3"/>
  <c r="C8" i="14"/>
  <c r="G208" i="3" a="1"/>
  <c r="G208" i="3" s="1"/>
  <c r="C8" i="13"/>
  <c r="D21" i="10"/>
  <c r="D20" i="10"/>
  <c r="D18" i="10"/>
  <c r="G218" i="3" a="1"/>
  <c r="D294" i="3" l="1"/>
  <c r="B9" i="16"/>
  <c r="Y41" i="15"/>
  <c r="Z40" i="15"/>
  <c r="Y42" i="15"/>
  <c r="G218" i="3"/>
  <c r="G219" i="3" s="1" a="1"/>
  <c r="G219" i="3" s="1"/>
  <c r="E17" i="14" s="1"/>
  <c r="C33" i="10"/>
  <c r="C26" i="10"/>
  <c r="C23" i="10"/>
  <c r="D23" i="10" s="1"/>
  <c r="E16" i="10"/>
  <c r="C16" i="10"/>
  <c r="D15" i="10"/>
  <c r="C15" i="10"/>
  <c r="D12" i="10"/>
  <c r="E10" i="10"/>
  <c r="C9" i="10"/>
  <c r="C8" i="10"/>
  <c r="C6" i="10"/>
  <c r="C1" i="10"/>
  <c r="G220" i="3" a="1"/>
  <c r="G223" i="3" a="1"/>
  <c r="G227" i="3" a="1"/>
  <c r="D295" i="3" l="1"/>
  <c r="B10" i="16"/>
  <c r="Z41" i="15"/>
  <c r="AA40" i="15"/>
  <c r="Z42" i="15"/>
  <c r="G227" i="3"/>
  <c r="G223" i="3"/>
  <c r="G220" i="3"/>
  <c r="G221" i="3" s="1"/>
  <c r="G224" i="3" a="1"/>
  <c r="G224" i="3" s="1"/>
  <c r="G228" i="3" a="1"/>
  <c r="G228" i="3" s="1"/>
  <c r="G100" i="3"/>
  <c r="G101" i="3"/>
  <c r="D296" i="3" l="1"/>
  <c r="B11" i="16"/>
  <c r="AA41" i="15"/>
  <c r="AB40" i="15"/>
  <c r="AA42" i="15"/>
  <c r="G222" i="3"/>
  <c r="C25" i="14"/>
  <c r="D25" i="14" s="1"/>
  <c r="C35" i="14"/>
  <c r="C33" i="13"/>
  <c r="C23" i="13"/>
  <c r="D23" i="13" s="1"/>
  <c r="G102" i="3"/>
  <c r="G229" i="3" a="1"/>
  <c r="G229" i="3" s="1"/>
  <c r="G225" i="3" a="1"/>
  <c r="G225" i="3" s="1"/>
  <c r="G226" i="3" s="1"/>
  <c r="G231" i="3" s="1"/>
  <c r="AG221" i="7"/>
  <c r="AF221" i="7"/>
  <c r="AF220" i="7"/>
  <c r="G232" i="3" l="1"/>
  <c r="G233" i="3"/>
  <c r="D297" i="3"/>
  <c r="B12" i="16"/>
  <c r="AB41" i="15"/>
  <c r="AB42" i="15"/>
  <c r="AC40" i="15"/>
  <c r="AA100" i="7"/>
  <c r="AA99" i="7"/>
  <c r="AD4" i="4"/>
  <c r="AC4" i="4"/>
  <c r="AB4" i="4"/>
  <c r="AA4" i="4"/>
  <c r="Z4" i="4"/>
  <c r="Y4" i="4"/>
  <c r="X4" i="4"/>
  <c r="W4" i="4"/>
  <c r="V4" i="4"/>
  <c r="G234" i="3" l="1"/>
  <c r="G236" i="3" s="1"/>
  <c r="G235" i="3"/>
  <c r="G237" i="3" s="1"/>
  <c r="D298" i="3"/>
  <c r="B13" i="16"/>
  <c r="AC42" i="15"/>
  <c r="AD40" i="15"/>
  <c r="AC41" i="15"/>
  <c r="G4" i="4"/>
  <c r="D4" i="4"/>
  <c r="C4" i="4"/>
  <c r="U4" i="4"/>
  <c r="S4" i="4"/>
  <c r="R4" i="4"/>
  <c r="P4" i="4"/>
  <c r="O4" i="4"/>
  <c r="L4" i="4"/>
  <c r="H158" i="9"/>
  <c r="H157" i="9"/>
  <c r="H156" i="9"/>
  <c r="H155" i="9"/>
  <c r="H154" i="9"/>
  <c r="H153" i="9"/>
  <c r="H152" i="9"/>
  <c r="H151" i="9"/>
  <c r="H150" i="9"/>
  <c r="H149" i="9"/>
  <c r="H148" i="9"/>
  <c r="C142" i="9"/>
  <c r="B14" i="16" l="1"/>
  <c r="D299" i="3"/>
  <c r="AE40" i="15"/>
  <c r="AD41" i="15"/>
  <c r="AD42" i="15"/>
  <c r="G164" i="3"/>
  <c r="T4" i="4"/>
  <c r="Q4" i="4"/>
  <c r="N4" i="4"/>
  <c r="M4" i="4"/>
  <c r="I4" i="4"/>
  <c r="H4" i="4"/>
  <c r="Y103" i="7"/>
  <c r="X103" i="7"/>
  <c r="Y102" i="7"/>
  <c r="X102" i="7"/>
  <c r="X101" i="7"/>
  <c r="Y100" i="7"/>
  <c r="D300" i="3" l="1"/>
  <c r="B15" i="16"/>
  <c r="AF40" i="15"/>
  <c r="AE42" i="15"/>
  <c r="AE41" i="15"/>
  <c r="D20" i="8"/>
  <c r="D19" i="8"/>
  <c r="D13" i="8"/>
  <c r="D15" i="8" s="1"/>
  <c r="D14" i="8"/>
  <c r="D301" i="3" l="1"/>
  <c r="B16" i="16"/>
  <c r="AG40" i="15"/>
  <c r="AF41" i="15"/>
  <c r="AF42" i="15"/>
  <c r="D8" i="8"/>
  <c r="D9" i="8" s="1"/>
  <c r="D6" i="8"/>
  <c r="D302" i="3" l="1"/>
  <c r="B17" i="16"/>
  <c r="AG41" i="15"/>
  <c r="AH40" i="15"/>
  <c r="AG42" i="15"/>
  <c r="D37" i="1"/>
  <c r="D36" i="1"/>
  <c r="D303" i="3" l="1"/>
  <c r="B18" i="16"/>
  <c r="AH41" i="15"/>
  <c r="AH42" i="15"/>
  <c r="AI40" i="15"/>
  <c r="G149" i="3"/>
  <c r="D304" i="3" l="1"/>
  <c r="B19" i="16"/>
  <c r="AI41" i="15"/>
  <c r="AI42" i="15"/>
  <c r="AJ40" i="15"/>
  <c r="G165" i="3"/>
  <c r="D17" i="11"/>
  <c r="D305" i="3" l="1"/>
  <c r="B20" i="16"/>
  <c r="AJ42" i="15"/>
  <c r="AJ41" i="15"/>
  <c r="AK40" i="15"/>
  <c r="FK161" i="4"/>
  <c r="FJ161" i="4"/>
  <c r="FI161" i="4"/>
  <c r="FH161" i="4"/>
  <c r="FG161" i="4"/>
  <c r="FF161" i="4"/>
  <c r="FE161" i="4"/>
  <c r="FD161" i="4"/>
  <c r="FC161" i="4"/>
  <c r="FB161" i="4"/>
  <c r="FA161" i="4"/>
  <c r="EZ161" i="4"/>
  <c r="EY161" i="4"/>
  <c r="EX161" i="4"/>
  <c r="EW161" i="4"/>
  <c r="EV161" i="4"/>
  <c r="EU161" i="4"/>
  <c r="ET161" i="4"/>
  <c r="ES161" i="4"/>
  <c r="ER161" i="4"/>
  <c r="EQ161" i="4"/>
  <c r="EP161" i="4"/>
  <c r="EO161" i="4"/>
  <c r="EN161" i="4"/>
  <c r="EM161" i="4"/>
  <c r="EL161" i="4"/>
  <c r="EK161" i="4"/>
  <c r="EJ161" i="4"/>
  <c r="EI161" i="4"/>
  <c r="EH161" i="4"/>
  <c r="EG161" i="4"/>
  <c r="EF161" i="4"/>
  <c r="EE161" i="4"/>
  <c r="ED161" i="4"/>
  <c r="EC161" i="4"/>
  <c r="EB161" i="4"/>
  <c r="EA161" i="4"/>
  <c r="DZ161" i="4"/>
  <c r="DY161" i="4"/>
  <c r="DX161" i="4"/>
  <c r="DW161" i="4"/>
  <c r="DV161" i="4"/>
  <c r="DU161" i="4"/>
  <c r="DT161" i="4"/>
  <c r="DS161" i="4"/>
  <c r="DR161" i="4"/>
  <c r="DQ161" i="4"/>
  <c r="DP161" i="4"/>
  <c r="DO161" i="4"/>
  <c r="DN161" i="4"/>
  <c r="DM161" i="4"/>
  <c r="DL161" i="4"/>
  <c r="DK161" i="4"/>
  <c r="DJ161" i="4"/>
  <c r="DI161" i="4"/>
  <c r="DH161" i="4"/>
  <c r="DG161" i="4"/>
  <c r="DF161" i="4"/>
  <c r="DE161" i="4"/>
  <c r="DD161" i="4"/>
  <c r="DC161" i="4"/>
  <c r="DB161" i="4"/>
  <c r="DA161" i="4"/>
  <c r="CZ161" i="4"/>
  <c r="CY161" i="4"/>
  <c r="CX161" i="4"/>
  <c r="CW161" i="4"/>
  <c r="CV161" i="4"/>
  <c r="CU161" i="4"/>
  <c r="CT161" i="4"/>
  <c r="CS161" i="4"/>
  <c r="CR161" i="4"/>
  <c r="CQ161" i="4"/>
  <c r="CP161" i="4"/>
  <c r="CO161" i="4"/>
  <c r="CN161" i="4"/>
  <c r="CM161" i="4"/>
  <c r="CL161" i="4"/>
  <c r="CK161" i="4"/>
  <c r="CJ161" i="4"/>
  <c r="CI161" i="4"/>
  <c r="CH161" i="4"/>
  <c r="CG161" i="4"/>
  <c r="CF161" i="4"/>
  <c r="CE161" i="4"/>
  <c r="CD161" i="4"/>
  <c r="CC161" i="4"/>
  <c r="CB161" i="4"/>
  <c r="CA161" i="4"/>
  <c r="BZ161" i="4"/>
  <c r="BY161" i="4"/>
  <c r="BX161" i="4"/>
  <c r="BW161" i="4"/>
  <c r="BV161" i="4"/>
  <c r="BU161" i="4"/>
  <c r="BT161" i="4"/>
  <c r="BS161" i="4"/>
  <c r="BR161" i="4"/>
  <c r="BQ161" i="4"/>
  <c r="BP161" i="4"/>
  <c r="BO161" i="4"/>
  <c r="BN161" i="4"/>
  <c r="BM161" i="4"/>
  <c r="BL161" i="4"/>
  <c r="BK161" i="4"/>
  <c r="BJ161" i="4"/>
  <c r="BI161" i="4"/>
  <c r="BH161" i="4"/>
  <c r="BG161" i="4"/>
  <c r="BF161" i="4"/>
  <c r="BE161" i="4"/>
  <c r="BD161" i="4"/>
  <c r="BC161" i="4"/>
  <c r="BB161" i="4"/>
  <c r="BA161" i="4"/>
  <c r="AZ161" i="4"/>
  <c r="AY161" i="4"/>
  <c r="AX161" i="4"/>
  <c r="AW161" i="4"/>
  <c r="AV161" i="4"/>
  <c r="AU161" i="4"/>
  <c r="AT161" i="4"/>
  <c r="AS161" i="4"/>
  <c r="AR161" i="4"/>
  <c r="AQ161" i="4"/>
  <c r="AP161" i="4"/>
  <c r="AO161" i="4"/>
  <c r="AN161" i="4"/>
  <c r="AM161" i="4"/>
  <c r="AL161" i="4"/>
  <c r="AK161" i="4"/>
  <c r="AJ161" i="4"/>
  <c r="AI161" i="4"/>
  <c r="AH161" i="4"/>
  <c r="AG161" i="4"/>
  <c r="AF161" i="4"/>
  <c r="D306" i="3" l="1"/>
  <c r="B21" i="16"/>
  <c r="AK42" i="15"/>
  <c r="AK41" i="15"/>
  <c r="AL40" i="15"/>
  <c r="R161" i="4"/>
  <c r="Q161" i="4"/>
  <c r="P161" i="4"/>
  <c r="N161" i="4"/>
  <c r="M161" i="4"/>
  <c r="O161" i="4"/>
  <c r="V161" i="4"/>
  <c r="AA161" i="4"/>
  <c r="Z161" i="4"/>
  <c r="W161" i="4"/>
  <c r="Y161" i="4"/>
  <c r="X161" i="4"/>
  <c r="U161" i="4"/>
  <c r="T161" i="4"/>
  <c r="S161" i="4"/>
  <c r="C161" i="4"/>
  <c r="L161" i="4"/>
  <c r="I161" i="4"/>
  <c r="H161" i="4"/>
  <c r="G161" i="4"/>
  <c r="D161" i="4"/>
  <c r="AD161" i="4"/>
  <c r="AC161" i="4"/>
  <c r="AB161" i="4"/>
  <c r="D307" i="3" l="1"/>
  <c r="B22" i="16"/>
  <c r="AL41" i="15"/>
  <c r="AM40" i="15"/>
  <c r="AL42" i="15"/>
  <c r="FK160" i="4"/>
  <c r="FJ160" i="4"/>
  <c r="FI160" i="4"/>
  <c r="FH160" i="4"/>
  <c r="FG160" i="4"/>
  <c r="FF160" i="4"/>
  <c r="FE160" i="4"/>
  <c r="FD160" i="4"/>
  <c r="FC160" i="4"/>
  <c r="FB160" i="4"/>
  <c r="FA160" i="4"/>
  <c r="EZ160" i="4"/>
  <c r="EY160" i="4"/>
  <c r="EX160" i="4"/>
  <c r="EW160" i="4"/>
  <c r="EV160" i="4"/>
  <c r="EU160" i="4"/>
  <c r="ET160" i="4"/>
  <c r="ES160" i="4"/>
  <c r="ER160" i="4"/>
  <c r="EQ160" i="4"/>
  <c r="EP160" i="4"/>
  <c r="EO160" i="4"/>
  <c r="EN160" i="4"/>
  <c r="EM160" i="4"/>
  <c r="EL160" i="4"/>
  <c r="EK160" i="4"/>
  <c r="EJ160" i="4"/>
  <c r="EI160" i="4"/>
  <c r="EH160" i="4"/>
  <c r="EG160" i="4"/>
  <c r="EF160" i="4"/>
  <c r="EE160" i="4"/>
  <c r="ED160" i="4"/>
  <c r="EC160" i="4"/>
  <c r="EB160" i="4"/>
  <c r="EA160" i="4"/>
  <c r="DZ160" i="4"/>
  <c r="DY160" i="4"/>
  <c r="DX160" i="4"/>
  <c r="DW160" i="4"/>
  <c r="DV160" i="4"/>
  <c r="DU160" i="4"/>
  <c r="DT160" i="4"/>
  <c r="DS160" i="4"/>
  <c r="DR160" i="4"/>
  <c r="DQ160" i="4"/>
  <c r="DP160" i="4"/>
  <c r="DO160" i="4"/>
  <c r="DN160" i="4"/>
  <c r="DM160" i="4"/>
  <c r="DL160" i="4"/>
  <c r="DK160" i="4"/>
  <c r="DJ160" i="4"/>
  <c r="DI160" i="4"/>
  <c r="DH160" i="4"/>
  <c r="DG160" i="4"/>
  <c r="DF160" i="4"/>
  <c r="DE160" i="4"/>
  <c r="DD160" i="4"/>
  <c r="DC160" i="4"/>
  <c r="DB160" i="4"/>
  <c r="DA160" i="4"/>
  <c r="CZ160" i="4"/>
  <c r="CY160" i="4"/>
  <c r="CX160" i="4"/>
  <c r="CW160" i="4"/>
  <c r="CV160" i="4"/>
  <c r="CU160" i="4"/>
  <c r="CT160" i="4"/>
  <c r="CS160" i="4"/>
  <c r="CR160" i="4"/>
  <c r="CQ160" i="4"/>
  <c r="CP160" i="4"/>
  <c r="CO160" i="4"/>
  <c r="CN160" i="4"/>
  <c r="CM160" i="4"/>
  <c r="CL160" i="4"/>
  <c r="CK160" i="4"/>
  <c r="CJ160" i="4"/>
  <c r="CI160" i="4"/>
  <c r="CH160" i="4"/>
  <c r="CG160" i="4"/>
  <c r="CF160" i="4"/>
  <c r="CE160" i="4"/>
  <c r="CD160" i="4"/>
  <c r="CC160" i="4"/>
  <c r="CB160" i="4"/>
  <c r="CA160" i="4"/>
  <c r="BZ160" i="4"/>
  <c r="BY160" i="4"/>
  <c r="BX160" i="4"/>
  <c r="BW160" i="4"/>
  <c r="BV160" i="4"/>
  <c r="BU160" i="4"/>
  <c r="BT160" i="4"/>
  <c r="BS160" i="4"/>
  <c r="BR160" i="4"/>
  <c r="BQ160" i="4"/>
  <c r="BP160" i="4"/>
  <c r="BO160" i="4"/>
  <c r="BN160" i="4"/>
  <c r="BM160" i="4"/>
  <c r="BL160" i="4"/>
  <c r="BK160" i="4"/>
  <c r="BJ160" i="4"/>
  <c r="BI160" i="4"/>
  <c r="BH160" i="4"/>
  <c r="BG160" i="4"/>
  <c r="BF160" i="4"/>
  <c r="BE160" i="4"/>
  <c r="BD160" i="4"/>
  <c r="BC160" i="4"/>
  <c r="BB160" i="4"/>
  <c r="BA160" i="4"/>
  <c r="AZ160" i="4"/>
  <c r="AY160" i="4"/>
  <c r="AX160" i="4"/>
  <c r="AW160" i="4"/>
  <c r="AV160" i="4"/>
  <c r="AU160" i="4"/>
  <c r="AT160" i="4"/>
  <c r="AS160" i="4"/>
  <c r="AR160" i="4"/>
  <c r="AQ160" i="4"/>
  <c r="AP160" i="4"/>
  <c r="AO160" i="4"/>
  <c r="AN160" i="4"/>
  <c r="AM160" i="4"/>
  <c r="AL160" i="4"/>
  <c r="AK160" i="4"/>
  <c r="AJ160" i="4"/>
  <c r="AI160" i="4"/>
  <c r="AH160" i="4"/>
  <c r="AG160" i="4"/>
  <c r="FK159" i="4"/>
  <c r="FJ159" i="4"/>
  <c r="FI159" i="4"/>
  <c r="FH159" i="4"/>
  <c r="FG159" i="4"/>
  <c r="FF159" i="4"/>
  <c r="FE159" i="4"/>
  <c r="FD159" i="4"/>
  <c r="FC159" i="4"/>
  <c r="FB159" i="4"/>
  <c r="FA159" i="4"/>
  <c r="EZ159" i="4"/>
  <c r="EY159" i="4"/>
  <c r="EX159" i="4"/>
  <c r="EW159" i="4"/>
  <c r="EV159" i="4"/>
  <c r="EU159" i="4"/>
  <c r="ET159" i="4"/>
  <c r="ES159" i="4"/>
  <c r="ER159" i="4"/>
  <c r="EQ159" i="4"/>
  <c r="EP159" i="4"/>
  <c r="EO159" i="4"/>
  <c r="EN159" i="4"/>
  <c r="EM159" i="4"/>
  <c r="EL159" i="4"/>
  <c r="EK159" i="4"/>
  <c r="EJ159" i="4"/>
  <c r="EI159" i="4"/>
  <c r="EH159" i="4"/>
  <c r="EG159" i="4"/>
  <c r="EF159" i="4"/>
  <c r="EE159" i="4"/>
  <c r="ED159" i="4"/>
  <c r="EC159" i="4"/>
  <c r="EB159" i="4"/>
  <c r="EA159" i="4"/>
  <c r="DZ159" i="4"/>
  <c r="DY159" i="4"/>
  <c r="DX159" i="4"/>
  <c r="DW159" i="4"/>
  <c r="DV159" i="4"/>
  <c r="DU159" i="4"/>
  <c r="DT159" i="4"/>
  <c r="DS159" i="4"/>
  <c r="DR159" i="4"/>
  <c r="DQ159" i="4"/>
  <c r="DP159" i="4"/>
  <c r="DO159" i="4"/>
  <c r="DN159" i="4"/>
  <c r="DM159" i="4"/>
  <c r="DL159" i="4"/>
  <c r="DK159" i="4"/>
  <c r="DJ159" i="4"/>
  <c r="DI159" i="4"/>
  <c r="DH159" i="4"/>
  <c r="DG159" i="4"/>
  <c r="DF159" i="4"/>
  <c r="DE159" i="4"/>
  <c r="DD159" i="4"/>
  <c r="DC159" i="4"/>
  <c r="DB159" i="4"/>
  <c r="DA159" i="4"/>
  <c r="CZ159" i="4"/>
  <c r="CY159" i="4"/>
  <c r="CX159" i="4"/>
  <c r="CW159" i="4"/>
  <c r="CV159" i="4"/>
  <c r="CU159" i="4"/>
  <c r="CT159" i="4"/>
  <c r="CS159" i="4"/>
  <c r="CR159" i="4"/>
  <c r="CQ159" i="4"/>
  <c r="CP159" i="4"/>
  <c r="CO159" i="4"/>
  <c r="CN159" i="4"/>
  <c r="CM159" i="4"/>
  <c r="CL159" i="4"/>
  <c r="CK159" i="4"/>
  <c r="CJ159" i="4"/>
  <c r="CI159" i="4"/>
  <c r="CH159" i="4"/>
  <c r="CG159" i="4"/>
  <c r="CF159" i="4"/>
  <c r="CE159" i="4"/>
  <c r="CD159" i="4"/>
  <c r="CC159" i="4"/>
  <c r="CB159" i="4"/>
  <c r="CA159" i="4"/>
  <c r="BZ159" i="4"/>
  <c r="BY159" i="4"/>
  <c r="BX159" i="4"/>
  <c r="BW159" i="4"/>
  <c r="BV159" i="4"/>
  <c r="BU159" i="4"/>
  <c r="BT159" i="4"/>
  <c r="BS159" i="4"/>
  <c r="BR159" i="4"/>
  <c r="BQ159" i="4"/>
  <c r="BP159" i="4"/>
  <c r="BO159" i="4"/>
  <c r="BN159" i="4"/>
  <c r="BM159" i="4"/>
  <c r="BL159" i="4"/>
  <c r="BK159" i="4"/>
  <c r="BJ159" i="4"/>
  <c r="BI159" i="4"/>
  <c r="BH159" i="4"/>
  <c r="BG159" i="4"/>
  <c r="BF159" i="4"/>
  <c r="BE159" i="4"/>
  <c r="BD159" i="4"/>
  <c r="BC159" i="4"/>
  <c r="BB159" i="4"/>
  <c r="BA159" i="4"/>
  <c r="AZ159" i="4"/>
  <c r="AY159" i="4"/>
  <c r="AX159" i="4"/>
  <c r="AW159" i="4"/>
  <c r="AV159" i="4"/>
  <c r="AU159" i="4"/>
  <c r="AT159" i="4"/>
  <c r="AS159" i="4"/>
  <c r="AR159" i="4"/>
  <c r="AQ159" i="4"/>
  <c r="AP159" i="4"/>
  <c r="AO159" i="4"/>
  <c r="AN159" i="4"/>
  <c r="AM159" i="4"/>
  <c r="AL159" i="4"/>
  <c r="AK159" i="4"/>
  <c r="AJ159" i="4"/>
  <c r="AI159" i="4"/>
  <c r="AH159" i="4"/>
  <c r="AG159" i="4"/>
  <c r="AF160" i="4"/>
  <c r="AF159" i="4"/>
  <c r="FK158" i="4"/>
  <c r="FJ158" i="4"/>
  <c r="FI158" i="4"/>
  <c r="FH158" i="4"/>
  <c r="FG158" i="4"/>
  <c r="FF158" i="4"/>
  <c r="FE158" i="4"/>
  <c r="FD158" i="4"/>
  <c r="FC158" i="4"/>
  <c r="FB158" i="4"/>
  <c r="FA158" i="4"/>
  <c r="EZ158" i="4"/>
  <c r="EY158" i="4"/>
  <c r="EX158" i="4"/>
  <c r="EW158" i="4"/>
  <c r="EV158" i="4"/>
  <c r="EU158" i="4"/>
  <c r="ET158" i="4"/>
  <c r="ES158" i="4"/>
  <c r="ER158" i="4"/>
  <c r="EQ158" i="4"/>
  <c r="EP158" i="4"/>
  <c r="EO158" i="4"/>
  <c r="EN158" i="4"/>
  <c r="EM158" i="4"/>
  <c r="EL158" i="4"/>
  <c r="EK158" i="4"/>
  <c r="EJ158" i="4"/>
  <c r="EI158" i="4"/>
  <c r="EH158" i="4"/>
  <c r="EG158" i="4"/>
  <c r="EF158" i="4"/>
  <c r="EE158" i="4"/>
  <c r="ED158" i="4"/>
  <c r="EC158" i="4"/>
  <c r="EB158" i="4"/>
  <c r="EA158" i="4"/>
  <c r="DZ158" i="4"/>
  <c r="DY158" i="4"/>
  <c r="DX158" i="4"/>
  <c r="DW158" i="4"/>
  <c r="DV158" i="4"/>
  <c r="DU158" i="4"/>
  <c r="DT158" i="4"/>
  <c r="DS158" i="4"/>
  <c r="DR158" i="4"/>
  <c r="DQ158" i="4"/>
  <c r="DP158" i="4"/>
  <c r="DO158" i="4"/>
  <c r="DN158" i="4"/>
  <c r="DM158" i="4"/>
  <c r="DL158" i="4"/>
  <c r="DK158" i="4"/>
  <c r="DJ158" i="4"/>
  <c r="DI158" i="4"/>
  <c r="DH158" i="4"/>
  <c r="DG158" i="4"/>
  <c r="DF158" i="4"/>
  <c r="DE158" i="4"/>
  <c r="DD158" i="4"/>
  <c r="DC158" i="4"/>
  <c r="DB158" i="4"/>
  <c r="DA158" i="4"/>
  <c r="CZ158" i="4"/>
  <c r="CY158" i="4"/>
  <c r="CX158" i="4"/>
  <c r="CW158" i="4"/>
  <c r="CV158" i="4"/>
  <c r="CU158" i="4"/>
  <c r="CT158" i="4"/>
  <c r="CS158" i="4"/>
  <c r="CR158" i="4"/>
  <c r="CQ158" i="4"/>
  <c r="CP158" i="4"/>
  <c r="CO158" i="4"/>
  <c r="CN158" i="4"/>
  <c r="CM158" i="4"/>
  <c r="CL158" i="4"/>
  <c r="CK158" i="4"/>
  <c r="CJ158" i="4"/>
  <c r="CI158" i="4"/>
  <c r="CH158" i="4"/>
  <c r="CG158" i="4"/>
  <c r="CF158" i="4"/>
  <c r="CE158" i="4"/>
  <c r="CD158" i="4"/>
  <c r="CC158" i="4"/>
  <c r="CB158" i="4"/>
  <c r="CA158" i="4"/>
  <c r="BZ158" i="4"/>
  <c r="BY158" i="4"/>
  <c r="BX158" i="4"/>
  <c r="BW158" i="4"/>
  <c r="BV158" i="4"/>
  <c r="BU158" i="4"/>
  <c r="BT158" i="4"/>
  <c r="BS158" i="4"/>
  <c r="BR158" i="4"/>
  <c r="BQ158" i="4"/>
  <c r="BP158" i="4"/>
  <c r="BO158" i="4"/>
  <c r="BN158" i="4"/>
  <c r="BM158" i="4"/>
  <c r="BL158" i="4"/>
  <c r="BK158" i="4"/>
  <c r="BJ158" i="4"/>
  <c r="BI158" i="4"/>
  <c r="BH158" i="4"/>
  <c r="BG158" i="4"/>
  <c r="BF158" i="4"/>
  <c r="BE158" i="4"/>
  <c r="BD158" i="4"/>
  <c r="BC158" i="4"/>
  <c r="BB158" i="4"/>
  <c r="BA158" i="4"/>
  <c r="AZ158" i="4"/>
  <c r="AY158" i="4"/>
  <c r="AX158" i="4"/>
  <c r="AW158" i="4"/>
  <c r="AV158" i="4"/>
  <c r="AU158" i="4"/>
  <c r="AT158" i="4"/>
  <c r="AS158" i="4"/>
  <c r="AR158" i="4"/>
  <c r="AQ158" i="4"/>
  <c r="AP158" i="4"/>
  <c r="AO158" i="4"/>
  <c r="AN158" i="4"/>
  <c r="AM158" i="4"/>
  <c r="AL158" i="4"/>
  <c r="AK158" i="4"/>
  <c r="AJ158" i="4"/>
  <c r="AI158" i="4"/>
  <c r="AH158" i="4"/>
  <c r="AG158" i="4"/>
  <c r="FK157" i="4"/>
  <c r="FJ157" i="4"/>
  <c r="FI157" i="4"/>
  <c r="FH157" i="4"/>
  <c r="FG157" i="4"/>
  <c r="FF157" i="4"/>
  <c r="FE157" i="4"/>
  <c r="FD157" i="4"/>
  <c r="FC157" i="4"/>
  <c r="FB157" i="4"/>
  <c r="FA157" i="4"/>
  <c r="EZ157" i="4"/>
  <c r="EY157" i="4"/>
  <c r="EX157" i="4"/>
  <c r="EW157" i="4"/>
  <c r="EV157" i="4"/>
  <c r="EU157" i="4"/>
  <c r="ET157" i="4"/>
  <c r="ES157" i="4"/>
  <c r="ER157" i="4"/>
  <c r="EQ157" i="4"/>
  <c r="EP157" i="4"/>
  <c r="EO157" i="4"/>
  <c r="EN157" i="4"/>
  <c r="EM157" i="4"/>
  <c r="EL157" i="4"/>
  <c r="EK157" i="4"/>
  <c r="EJ157" i="4"/>
  <c r="EI157" i="4"/>
  <c r="EH157" i="4"/>
  <c r="EG157" i="4"/>
  <c r="EF157" i="4"/>
  <c r="EE157" i="4"/>
  <c r="ED157" i="4"/>
  <c r="EC157" i="4"/>
  <c r="EB157" i="4"/>
  <c r="EA157" i="4"/>
  <c r="DZ157" i="4"/>
  <c r="DY157" i="4"/>
  <c r="DX157" i="4"/>
  <c r="DW157" i="4"/>
  <c r="DV157" i="4"/>
  <c r="DU157" i="4"/>
  <c r="DT157" i="4"/>
  <c r="DS157" i="4"/>
  <c r="DR157" i="4"/>
  <c r="DQ157" i="4"/>
  <c r="DP157" i="4"/>
  <c r="DO157" i="4"/>
  <c r="DN157" i="4"/>
  <c r="DM157" i="4"/>
  <c r="DL157" i="4"/>
  <c r="DK157" i="4"/>
  <c r="DJ157" i="4"/>
  <c r="DI157" i="4"/>
  <c r="DH157" i="4"/>
  <c r="DG157" i="4"/>
  <c r="DF157" i="4"/>
  <c r="DE157" i="4"/>
  <c r="DD157" i="4"/>
  <c r="DC157" i="4"/>
  <c r="DB157" i="4"/>
  <c r="DA157" i="4"/>
  <c r="CZ157" i="4"/>
  <c r="CY157" i="4"/>
  <c r="CX157" i="4"/>
  <c r="CW157" i="4"/>
  <c r="CV157" i="4"/>
  <c r="CU157" i="4"/>
  <c r="CT157" i="4"/>
  <c r="CS157" i="4"/>
  <c r="CR157" i="4"/>
  <c r="CQ157" i="4"/>
  <c r="CP157" i="4"/>
  <c r="CO157" i="4"/>
  <c r="CN157" i="4"/>
  <c r="CM157" i="4"/>
  <c r="CL157" i="4"/>
  <c r="CK157" i="4"/>
  <c r="CJ157" i="4"/>
  <c r="CI157" i="4"/>
  <c r="CH157" i="4"/>
  <c r="CG157" i="4"/>
  <c r="CF157" i="4"/>
  <c r="CE157" i="4"/>
  <c r="CD157" i="4"/>
  <c r="CC157" i="4"/>
  <c r="CB157" i="4"/>
  <c r="CA157" i="4"/>
  <c r="BZ157" i="4"/>
  <c r="BY157" i="4"/>
  <c r="BX157" i="4"/>
  <c r="BW157" i="4"/>
  <c r="BV157" i="4"/>
  <c r="BU157" i="4"/>
  <c r="BT157" i="4"/>
  <c r="BS157" i="4"/>
  <c r="BR157" i="4"/>
  <c r="BQ157" i="4"/>
  <c r="BP157" i="4"/>
  <c r="BO157" i="4"/>
  <c r="BN157" i="4"/>
  <c r="BM157" i="4"/>
  <c r="BL157" i="4"/>
  <c r="BK157" i="4"/>
  <c r="BJ157" i="4"/>
  <c r="BI157" i="4"/>
  <c r="BH157" i="4"/>
  <c r="BG157" i="4"/>
  <c r="BF157" i="4"/>
  <c r="BE157" i="4"/>
  <c r="BD157" i="4"/>
  <c r="BC157" i="4"/>
  <c r="BB157" i="4"/>
  <c r="BA157" i="4"/>
  <c r="AZ157" i="4"/>
  <c r="AY157" i="4"/>
  <c r="AX157" i="4"/>
  <c r="AW157" i="4"/>
  <c r="AV157" i="4"/>
  <c r="AU157" i="4"/>
  <c r="AT157" i="4"/>
  <c r="AS157" i="4"/>
  <c r="AR157" i="4"/>
  <c r="AQ157" i="4"/>
  <c r="AP157" i="4"/>
  <c r="AO157" i="4"/>
  <c r="AN157" i="4"/>
  <c r="AM157" i="4"/>
  <c r="AL157" i="4"/>
  <c r="AK157" i="4"/>
  <c r="AJ157" i="4"/>
  <c r="AI157" i="4"/>
  <c r="AH157" i="4"/>
  <c r="AG157" i="4"/>
  <c r="AF158" i="4"/>
  <c r="AF157" i="4"/>
  <c r="D308" i="3" l="1"/>
  <c r="B23" i="16"/>
  <c r="AM41" i="15"/>
  <c r="AN40" i="15"/>
  <c r="AM42" i="15"/>
  <c r="AD160" i="4"/>
  <c r="AC160" i="4"/>
  <c r="AB160" i="4"/>
  <c r="AD158" i="4"/>
  <c r="AC158" i="4"/>
  <c r="AB158" i="4"/>
  <c r="AD157" i="4"/>
  <c r="AB157" i="4"/>
  <c r="AC157" i="4"/>
  <c r="AD159" i="4"/>
  <c r="AC159" i="4"/>
  <c r="AB159" i="4"/>
  <c r="Z158" i="4"/>
  <c r="Y158" i="4"/>
  <c r="AA158" i="4"/>
  <c r="X158" i="4"/>
  <c r="W158" i="4"/>
  <c r="V158" i="4"/>
  <c r="V160" i="4"/>
  <c r="AA160" i="4"/>
  <c r="Z160" i="4"/>
  <c r="Y160" i="4"/>
  <c r="X160" i="4"/>
  <c r="W160" i="4"/>
  <c r="W159" i="4"/>
  <c r="V159" i="4"/>
  <c r="AA159" i="4"/>
  <c r="Z159" i="4"/>
  <c r="Y159" i="4"/>
  <c r="X159" i="4"/>
  <c r="Y157" i="4"/>
  <c r="AA157" i="4"/>
  <c r="Z157" i="4"/>
  <c r="X157" i="4"/>
  <c r="V157" i="4"/>
  <c r="W157" i="4"/>
  <c r="S158" i="4"/>
  <c r="U158" i="4"/>
  <c r="T158" i="4"/>
  <c r="U160" i="4"/>
  <c r="T160" i="4"/>
  <c r="S160" i="4"/>
  <c r="T157" i="4"/>
  <c r="S157" i="4"/>
  <c r="U157" i="4"/>
  <c r="U159" i="4"/>
  <c r="T159" i="4"/>
  <c r="S159" i="4"/>
  <c r="Q158" i="4"/>
  <c r="P158" i="4"/>
  <c r="R158" i="4"/>
  <c r="P160" i="4"/>
  <c r="R160" i="4"/>
  <c r="Q160" i="4"/>
  <c r="R157" i="4"/>
  <c r="P157" i="4"/>
  <c r="Q157" i="4"/>
  <c r="R159" i="4"/>
  <c r="P159" i="4"/>
  <c r="Q159" i="4"/>
  <c r="N160" i="4"/>
  <c r="M160" i="4"/>
  <c r="O160" i="4"/>
  <c r="O158" i="4"/>
  <c r="N158" i="4"/>
  <c r="M158" i="4"/>
  <c r="M159" i="4"/>
  <c r="O159" i="4"/>
  <c r="N159" i="4"/>
  <c r="O157" i="4"/>
  <c r="N157" i="4"/>
  <c r="M157" i="4"/>
  <c r="D158" i="4"/>
  <c r="C158" i="4"/>
  <c r="G158" i="4"/>
  <c r="L158" i="4"/>
  <c r="I158" i="4"/>
  <c r="H158" i="4"/>
  <c r="D160" i="4"/>
  <c r="L160" i="4"/>
  <c r="G160" i="4"/>
  <c r="I160" i="4"/>
  <c r="H160" i="4"/>
  <c r="C160" i="4"/>
  <c r="G157" i="4"/>
  <c r="L157" i="4"/>
  <c r="C157" i="4"/>
  <c r="I157" i="4"/>
  <c r="H157" i="4"/>
  <c r="D157" i="4"/>
  <c r="L159" i="4"/>
  <c r="D159" i="4"/>
  <c r="C159" i="4"/>
  <c r="I159" i="4"/>
  <c r="H159" i="4"/>
  <c r="G159" i="4"/>
  <c r="G127" i="3"/>
  <c r="G121" i="3"/>
  <c r="D309" i="3" l="1"/>
  <c r="B24" i="16"/>
  <c r="AO40" i="15"/>
  <c r="AN41" i="15"/>
  <c r="AN42" i="15"/>
  <c r="G120" i="3"/>
  <c r="D310" i="3" l="1"/>
  <c r="B25" i="16"/>
  <c r="AO41" i="15"/>
  <c r="AO42" i="15"/>
  <c r="AP40" i="15"/>
  <c r="G82" i="3"/>
  <c r="E23" i="17" l="1"/>
  <c r="F23" i="17" s="1"/>
  <c r="E22" i="17"/>
  <c r="F22" i="17" s="1"/>
  <c r="D311" i="3"/>
  <c r="B26" i="16"/>
  <c r="AP41" i="15"/>
  <c r="AQ40" i="15"/>
  <c r="AP42" i="15"/>
  <c r="D25" i="13"/>
  <c r="D27" i="14"/>
  <c r="G107" i="3"/>
  <c r="G159" i="3" s="1"/>
  <c r="G106" i="3"/>
  <c r="D312" i="3" l="1"/>
  <c r="B27" i="16"/>
  <c r="AQ42" i="15"/>
  <c r="AR40" i="15"/>
  <c r="AQ41" i="15"/>
  <c r="G161" i="3"/>
  <c r="G92" i="3"/>
  <c r="D313" i="3" l="1"/>
  <c r="B28" i="16"/>
  <c r="AR42" i="15"/>
  <c r="AR41" i="15"/>
  <c r="AS40" i="15"/>
  <c r="D16" i="10"/>
  <c r="D16" i="11"/>
  <c r="G93" i="3" a="1"/>
  <c r="G93" i="3" s="1"/>
  <c r="G94" i="3"/>
  <c r="G122" i="3" s="1"/>
  <c r="F17" i="11" s="1"/>
  <c r="G125" i="3" a="1"/>
  <c r="G124" i="3" a="1"/>
  <c r="D314" i="3" l="1"/>
  <c r="B29" i="16"/>
  <c r="AS42" i="15"/>
  <c r="AS41" i="15"/>
  <c r="AT40" i="15"/>
  <c r="D26" i="13"/>
  <c r="D28" i="14"/>
  <c r="D25" i="10"/>
  <c r="D26" i="10" s="1"/>
  <c r="D27" i="11"/>
  <c r="D28" i="11" s="1"/>
  <c r="G125" i="3"/>
  <c r="G124" i="3"/>
  <c r="G95" i="3"/>
  <c r="G97" i="3"/>
  <c r="G98" i="3"/>
  <c r="G96" i="3"/>
  <c r="G169" i="3" a="1"/>
  <c r="G129" i="3" a="1"/>
  <c r="G132" i="3" a="1"/>
  <c r="G168" i="3" a="1"/>
  <c r="G136" i="3" l="1"/>
  <c r="D315" i="3"/>
  <c r="B30" i="16"/>
  <c r="AU40" i="15"/>
  <c r="AT41" i="15"/>
  <c r="AT42" i="15"/>
  <c r="K17" i="14"/>
  <c r="G128" i="3"/>
  <c r="G169" i="3"/>
  <c r="G168" i="3"/>
  <c r="G167" i="3"/>
  <c r="F148" i="9"/>
  <c r="F156" i="9"/>
  <c r="F155" i="9"/>
  <c r="F154" i="9"/>
  <c r="F151" i="9"/>
  <c r="F149" i="9"/>
  <c r="F158" i="9"/>
  <c r="F150" i="9"/>
  <c r="F157" i="9"/>
  <c r="F152" i="9"/>
  <c r="F153" i="9"/>
  <c r="G132" i="3"/>
  <c r="G129" i="3"/>
  <c r="G126" i="3"/>
  <c r="G108" i="3"/>
  <c r="G241" i="3" s="1"/>
  <c r="G99" i="3"/>
  <c r="H56" i="3"/>
  <c r="H54" i="3"/>
  <c r="H52" i="3"/>
  <c r="H50" i="3"/>
  <c r="H42" i="3"/>
  <c r="H46" i="3"/>
  <c r="H44" i="3"/>
  <c r="H48" i="3"/>
  <c r="G137" i="3" a="1"/>
  <c r="G130" i="3" a="1"/>
  <c r="G131" i="3" a="1"/>
  <c r="G143" i="3" a="1"/>
  <c r="G135" i="3" a="1"/>
  <c r="G137" i="3" l="1"/>
  <c r="D316" i="3"/>
  <c r="B31" i="16"/>
  <c r="G135" i="3"/>
  <c r="G131" i="3"/>
  <c r="G153" i="3" s="1"/>
  <c r="E17" i="11"/>
  <c r="AU41" i="15"/>
  <c r="AV40" i="15"/>
  <c r="AU42" i="15"/>
  <c r="C23" i="14"/>
  <c r="D10" i="14" a="1"/>
  <c r="D10" i="14" s="1"/>
  <c r="C10" i="14" a="1"/>
  <c r="C10" i="14" s="1"/>
  <c r="C20" i="14"/>
  <c r="C18" i="13"/>
  <c r="C10" i="13" a="1"/>
  <c r="C10" i="13" s="1"/>
  <c r="D10" i="13" a="1"/>
  <c r="D10" i="13" s="1"/>
  <c r="C21" i="13"/>
  <c r="G242" i="3" a="1"/>
  <c r="G242" i="3" s="1"/>
  <c r="G251" i="3" s="1"/>
  <c r="G105" i="3"/>
  <c r="G143" i="3"/>
  <c r="G130" i="3"/>
  <c r="G151" i="3" s="1"/>
  <c r="C21" i="10"/>
  <c r="D10" i="11" a="1"/>
  <c r="D10" i="11" s="1"/>
  <c r="C23" i="11"/>
  <c r="C18" i="10"/>
  <c r="C10" i="11" a="1"/>
  <c r="C10" i="11" s="1"/>
  <c r="C20" i="11"/>
  <c r="D10" i="10" a="1"/>
  <c r="D10" i="10" s="1"/>
  <c r="C10" i="10" a="1"/>
  <c r="C10" i="10" s="1"/>
  <c r="G103" i="3"/>
  <c r="G104" i="3"/>
  <c r="J154" i="9"/>
  <c r="M154" i="9" s="1"/>
  <c r="J151" i="9"/>
  <c r="M151" i="9" s="1"/>
  <c r="J155" i="9"/>
  <c r="K155" i="9" s="1"/>
  <c r="J156" i="9"/>
  <c r="M156" i="9" s="1"/>
  <c r="J153" i="9"/>
  <c r="M153" i="9" s="1"/>
  <c r="J157" i="9"/>
  <c r="K157" i="9" s="1"/>
  <c r="J148" i="9"/>
  <c r="M148" i="9" s="1"/>
  <c r="J152" i="9"/>
  <c r="J150" i="9"/>
  <c r="J149" i="9"/>
  <c r="G150" i="3"/>
  <c r="G156" i="3"/>
  <c r="G144" i="3"/>
  <c r="G146" i="3"/>
  <c r="G110" i="3"/>
  <c r="G111" i="3" s="1"/>
  <c r="G158" i="3" s="1"/>
  <c r="G112" i="3"/>
  <c r="G109" i="3"/>
  <c r="G133" i="3" a="1"/>
  <c r="N153" i="9" a="1"/>
  <c r="G134" i="3" a="1"/>
  <c r="G138" i="3" a="1"/>
  <c r="L157" i="9" a="1"/>
  <c r="N154" i="9" a="1"/>
  <c r="G148" i="3" a="1"/>
  <c r="N151" i="9" a="1"/>
  <c r="N148" i="9" a="1"/>
  <c r="N156" i="9" a="1"/>
  <c r="G147" i="3" a="1"/>
  <c r="L155" i="9" a="1"/>
  <c r="G138" i="3" l="1"/>
  <c r="G139" i="3" s="1"/>
  <c r="G140" i="3"/>
  <c r="G141" i="3" s="1"/>
  <c r="D317" i="3"/>
  <c r="B32" i="16"/>
  <c r="AW40" i="15"/>
  <c r="AV42" i="15"/>
  <c r="AV41" i="15"/>
  <c r="G246" i="3"/>
  <c r="G243" i="3"/>
  <c r="G254" i="3" s="1"/>
  <c r="G145" i="3"/>
  <c r="G157" i="3"/>
  <c r="G114" i="3"/>
  <c r="K154" i="9"/>
  <c r="K153" i="9"/>
  <c r="M155" i="9"/>
  <c r="K151" i="9"/>
  <c r="K156" i="9"/>
  <c r="M157" i="9"/>
  <c r="K148" i="9"/>
  <c r="N154" i="9"/>
  <c r="N148" i="9"/>
  <c r="L155" i="9"/>
  <c r="L157" i="9"/>
  <c r="N151" i="9"/>
  <c r="N153" i="9"/>
  <c r="N156" i="9"/>
  <c r="K149" i="9"/>
  <c r="M149" i="9"/>
  <c r="K152" i="9"/>
  <c r="M152" i="9"/>
  <c r="M150" i="9"/>
  <c r="K150" i="9"/>
  <c r="G160" i="3"/>
  <c r="G148" i="3"/>
  <c r="G147" i="3"/>
  <c r="G133" i="3"/>
  <c r="G154" i="3" s="1"/>
  <c r="G134" i="3"/>
  <c r="G115" i="3"/>
  <c r="G113" i="3"/>
  <c r="L154" i="9" a="1"/>
  <c r="L156" i="9" a="1"/>
  <c r="N150" i="9" a="1"/>
  <c r="L149" i="9" a="1"/>
  <c r="L150" i="9" a="1"/>
  <c r="L153" i="9" a="1"/>
  <c r="N155" i="9" a="1"/>
  <c r="N157" i="9" a="1"/>
  <c r="L151" i="9" a="1"/>
  <c r="N149" i="9" a="1"/>
  <c r="N152" i="9" a="1"/>
  <c r="L148" i="9" a="1"/>
  <c r="L152" i="9" a="1"/>
  <c r="G142" i="3" l="1"/>
  <c r="D318" i="3"/>
  <c r="B33" i="16"/>
  <c r="G179" i="3"/>
  <c r="G178" i="3"/>
  <c r="AX40" i="15"/>
  <c r="AW41" i="15"/>
  <c r="AW42" i="15"/>
  <c r="G261" i="3"/>
  <c r="G260" i="3"/>
  <c r="G244" i="3" a="1"/>
  <c r="G244" i="3" s="1"/>
  <c r="G252" i="3" s="1"/>
  <c r="G116" i="3"/>
  <c r="G118" i="3" s="1"/>
  <c r="G247" i="3" s="1"/>
  <c r="G249" i="3" s="1"/>
  <c r="G173" i="3"/>
  <c r="G172" i="3"/>
  <c r="L154" i="9"/>
  <c r="L153" i="9"/>
  <c r="L151" i="9"/>
  <c r="N155" i="9"/>
  <c r="N157" i="9"/>
  <c r="L156" i="9"/>
  <c r="L148" i="9"/>
  <c r="L150" i="9"/>
  <c r="N150" i="9"/>
  <c r="N152" i="9"/>
  <c r="L152" i="9"/>
  <c r="N149" i="9"/>
  <c r="L149" i="9"/>
  <c r="G152" i="3"/>
  <c r="G166" i="3" s="1"/>
  <c r="G117" i="3"/>
  <c r="G119" i="3" s="1"/>
  <c r="D319" i="3" l="1"/>
  <c r="B34" i="16"/>
  <c r="G180" i="3"/>
  <c r="G181" i="3"/>
  <c r="AX41" i="15"/>
  <c r="AX42" i="15"/>
  <c r="AY40" i="15"/>
  <c r="G255" i="3"/>
  <c r="G253" i="3"/>
  <c r="G245" i="3" a="1"/>
  <c r="G245" i="3" s="1"/>
  <c r="G265" i="3"/>
  <c r="G264" i="3"/>
  <c r="G163" i="3"/>
  <c r="G248" i="3"/>
  <c r="G250" i="3" s="1"/>
  <c r="G162" i="3"/>
  <c r="G174" i="3"/>
  <c r="G175" i="3"/>
  <c r="D320" i="3" l="1"/>
  <c r="B35" i="16"/>
  <c r="AY41" i="15"/>
  <c r="AZ40" i="15"/>
  <c r="AY42" i="15"/>
  <c r="D321" i="3" l="1"/>
  <c r="B36" i="16"/>
  <c r="AZ41" i="15"/>
  <c r="AZ42" i="15"/>
  <c r="BA40" i="15"/>
  <c r="D322" i="3" l="1"/>
  <c r="B37" i="16"/>
  <c r="BA41" i="15"/>
  <c r="BB40" i="15"/>
  <c r="BA42" i="15"/>
  <c r="D323" i="3" l="1"/>
  <c r="B38" i="16"/>
  <c r="BB42" i="15"/>
  <c r="BC40" i="15"/>
  <c r="BB41" i="15"/>
  <c r="D324" i="3" l="1"/>
  <c r="B39" i="16"/>
  <c r="BD40" i="15"/>
  <c r="BC42" i="15"/>
  <c r="BC41" i="15"/>
  <c r="D325" i="3" l="1"/>
  <c r="B40" i="16"/>
  <c r="BE40" i="15"/>
  <c r="BD42" i="15"/>
  <c r="BD41" i="15"/>
  <c r="D326" i="3" l="1"/>
  <c r="B41" i="16"/>
  <c r="BE41" i="15"/>
  <c r="BE42" i="15"/>
  <c r="BF40" i="15"/>
  <c r="D327" i="3" l="1"/>
  <c r="B42" i="16"/>
  <c r="BF41" i="15"/>
  <c r="BF42" i="15"/>
  <c r="BG40" i="15"/>
  <c r="D328" i="3" l="1"/>
  <c r="B43" i="16"/>
  <c r="BG41" i="15"/>
  <c r="BH40" i="15"/>
  <c r="BG42" i="15"/>
  <c r="D329" i="3" l="1"/>
  <c r="B44" i="16"/>
  <c r="BI40" i="15"/>
  <c r="BH42" i="15"/>
  <c r="BH41" i="15"/>
  <c r="D330" i="3" l="1"/>
  <c r="B45" i="16"/>
  <c r="BI42" i="15"/>
  <c r="BI41" i="15"/>
  <c r="D331" i="3" l="1"/>
  <c r="B46" i="16"/>
  <c r="D332" i="3" l="1"/>
  <c r="B47" i="16"/>
  <c r="D333" i="3" l="1"/>
  <c r="B48" i="16"/>
  <c r="D334" i="3" l="1"/>
  <c r="B49" i="16"/>
  <c r="D335" i="3" l="1"/>
  <c r="B50" i="16"/>
  <c r="D336" i="3" l="1"/>
  <c r="B51" i="16"/>
  <c r="D337" i="3" l="1"/>
  <c r="B52" i="16"/>
  <c r="D338" i="3" l="1"/>
  <c r="B53" i="16"/>
  <c r="D339" i="3" l="1"/>
  <c r="B54" i="16"/>
  <c r="D340" i="3" l="1"/>
  <c r="B55" i="16"/>
  <c r="D341" i="3" l="1"/>
  <c r="B56" i="16"/>
  <c r="D342" i="3" l="1"/>
  <c r="B57" i="16"/>
  <c r="D343" i="3" l="1"/>
  <c r="B58" i="16"/>
  <c r="D344" i="3" l="1"/>
  <c r="B59" i="16"/>
  <c r="D345" i="3" l="1"/>
  <c r="B60" i="16"/>
  <c r="D346" i="3" l="1"/>
  <c r="B61" i="16"/>
  <c r="D347" i="3" l="1"/>
  <c r="B62" i="16"/>
  <c r="D348" i="3" l="1"/>
  <c r="B63" i="16"/>
  <c r="D349" i="3" l="1"/>
  <c r="B64" i="16"/>
  <c r="D350" i="3" l="1"/>
  <c r="B65" i="16"/>
  <c r="D351" i="3" l="1"/>
  <c r="B66" i="16"/>
  <c r="D352" i="3" l="1"/>
  <c r="B67" i="16"/>
  <c r="D353" i="3" l="1"/>
  <c r="B68" i="16"/>
  <c r="D354" i="3" l="1"/>
  <c r="B69" i="16"/>
  <c r="D355" i="3" l="1"/>
  <c r="B70" i="16"/>
  <c r="D356" i="3" l="1"/>
  <c r="B71" i="16"/>
  <c r="D357" i="3" l="1"/>
  <c r="B72" i="16"/>
  <c r="D358" i="3" l="1"/>
  <c r="B73" i="16"/>
  <c r="D359" i="3" l="1"/>
  <c r="B74" i="16"/>
  <c r="D360" i="3" l="1"/>
  <c r="B75" i="16"/>
  <c r="D361" i="3" l="1"/>
  <c r="B76" i="16"/>
  <c r="D362" i="3" l="1"/>
  <c r="B77" i="16"/>
  <c r="D363" i="3" l="1"/>
  <c r="B78" i="16"/>
  <c r="D364" i="3" l="1"/>
  <c r="B79" i="16"/>
  <c r="D365" i="3" l="1"/>
  <c r="B80" i="16"/>
  <c r="D366" i="3" l="1"/>
  <c r="B81" i="16"/>
  <c r="D367" i="3" l="1"/>
  <c r="B82" i="16"/>
  <c r="D368" i="3" l="1"/>
  <c r="B83" i="16"/>
  <c r="D369" i="3" l="1"/>
  <c r="B84" i="16"/>
  <c r="D370" i="3" l="1"/>
  <c r="B85" i="16"/>
  <c r="D371" i="3" l="1"/>
  <c r="B86" i="16"/>
  <c r="D372" i="3" l="1"/>
  <c r="B87" i="16"/>
  <c r="D373" i="3" l="1"/>
  <c r="B88" i="16"/>
  <c r="D374" i="3" l="1"/>
  <c r="B89" i="16"/>
  <c r="B90" i="16" l="1"/>
  <c r="D375" i="3"/>
  <c r="D376" i="3" l="1"/>
  <c r="B91" i="16"/>
  <c r="B92" i="16" l="1"/>
  <c r="D377" i="3"/>
  <c r="D378" i="3" l="1"/>
  <c r="B93" i="16"/>
  <c r="D379" i="3" l="1"/>
  <c r="B94" i="16"/>
  <c r="D380" i="3" l="1"/>
  <c r="B95" i="16"/>
  <c r="D381" i="3" l="1"/>
  <c r="B96" i="16"/>
  <c r="D382" i="3" l="1"/>
  <c r="B97" i="16"/>
  <c r="D383" i="3" l="1"/>
  <c r="B98" i="16"/>
  <c r="D384" i="3" l="1"/>
  <c r="B99" i="16"/>
  <c r="D385" i="3" l="1"/>
  <c r="B100" i="16"/>
  <c r="D386" i="3" l="1"/>
  <c r="B101" i="16"/>
  <c r="D387" i="3" l="1"/>
  <c r="B103" i="16" s="1"/>
  <c r="B102"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Ralf Peek</author>
  </authors>
  <commentList>
    <comment ref="C28" authorId="0" shapeId="0" xr:uid="{43093612-283B-4E66-ADF9-A5C2B16E3816}">
      <text>
        <r>
          <rPr>
            <b/>
            <sz val="9"/>
            <color indexed="81"/>
            <rFont val="Tahoma"/>
            <family val="2"/>
          </rPr>
          <t>Ralf Peek:</t>
        </r>
        <r>
          <rPr>
            <sz val="9"/>
            <color indexed="81"/>
            <rFont val="Tahoma"/>
            <family val="2"/>
          </rPr>
          <t xml:space="preserve">
Folder name in which files named below are to be opened is located.  Cell above this one must be blank.  There may be no blank cells between this one and the selected file below.</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Ralf Peek</author>
  </authors>
  <commentList>
    <comment ref="D2" authorId="0" shapeId="0" xr:uid="{3D9E6392-86AF-45B7-B7DE-E0548D9572E7}">
      <text>
        <r>
          <rPr>
            <b/>
            <sz val="9"/>
            <color indexed="81"/>
            <rFont val="Tahoma"/>
            <family val="2"/>
          </rPr>
          <t>Ralf Peek:</t>
        </r>
        <r>
          <rPr>
            <sz val="9"/>
            <color indexed="81"/>
            <rFont val="Tahoma"/>
            <family val="2"/>
          </rPr>
          <t xml:space="preserve">
values shown only depend on prototype inputs, and not on VIV test considered.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Ralf Peek</author>
  </authors>
  <commentList>
    <comment ref="N20" authorId="0" shapeId="0" xr:uid="{C8A81C36-4528-46B2-B4CE-42CE8B9ADDFD}">
      <text>
        <r>
          <rPr>
            <b/>
            <sz val="9"/>
            <color indexed="81"/>
            <rFont val="Tahoma"/>
            <family val="2"/>
          </rPr>
          <t>Ralf Peek:</t>
        </r>
        <r>
          <rPr>
            <sz val="9"/>
            <color indexed="81"/>
            <rFont val="Tahoma"/>
            <family val="2"/>
          </rPr>
          <t xml:space="preserve">
jlast for bare pipes</t>
        </r>
      </text>
    </comment>
    <comment ref="O20" authorId="0" shapeId="0" xr:uid="{DC4CF451-68BC-4D38-8172-4438BE276092}">
      <text>
        <r>
          <rPr>
            <b/>
            <sz val="9"/>
            <color indexed="81"/>
            <rFont val="Tahoma"/>
            <family val="2"/>
          </rPr>
          <t>Ralf Peek:</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Ralf Peek</author>
    <author>tc={03C06EEF-5732-4204-8D31-43B820076430}</author>
    <author>tc={F17B83FD-9C4E-4781-B5DC-25FD81D5E752}</author>
    <author>tc={10E472EE-CDF4-4CB0-9490-A32E79C8BBAA}</author>
    <author>tc={39D38C13-08B6-4072-9A4F-38DE9B4A8337}</author>
  </authors>
  <commentList>
    <comment ref="C14" authorId="0" shapeId="0" xr:uid="{05F5DAA8-CEAF-4DED-9932-F5D59CBEE94E}">
      <text>
        <r>
          <rPr>
            <b/>
            <sz val="9"/>
            <color indexed="81"/>
            <rFont val="Tahoma"/>
            <family val="2"/>
          </rPr>
          <t>Ralf Peek:</t>
        </r>
        <r>
          <rPr>
            <sz val="9"/>
            <color indexed="81"/>
            <rFont val="Tahoma"/>
            <family val="2"/>
          </rPr>
          <t xml:space="preserve">
Checked that both of Jie's and Octavio's names are the same, except the last two present in Jie's but not Octavio's results.</t>
        </r>
      </text>
    </comment>
    <comment ref="D14" authorId="0" shapeId="0" xr:uid="{AD6A9C9D-3754-4FEA-B195-443B8DE0135D}">
      <text>
        <r>
          <rPr>
            <b/>
            <sz val="9"/>
            <color indexed="81"/>
            <rFont val="Tahoma"/>
            <family val="2"/>
          </rPr>
          <t>Ralf Peek:</t>
        </r>
        <r>
          <rPr>
            <sz val="9"/>
            <color indexed="81"/>
            <rFont val="Tahoma"/>
            <family val="2"/>
          </rPr>
          <t xml:space="preserve">
units all agree.  Same for Octavio &amp; Jie's 2 sheets.
chkd with ChkVnames.  All units are standard SI units.  Therefore units are not always given and should always be understood to be standard SI units unless otherwise stated.</t>
        </r>
      </text>
    </comment>
    <comment ref="E14" authorId="0" shapeId="0" xr:uid="{7CEEF28E-27C1-4B70-9FE3-EA2BA46C1AFD}">
      <text>
        <r>
          <rPr>
            <b/>
            <sz val="9"/>
            <color indexed="81"/>
            <rFont val="Tahoma"/>
            <family val="2"/>
          </rPr>
          <t>Ralf Peek:</t>
        </r>
        <r>
          <rPr>
            <sz val="9"/>
            <color indexed="81"/>
            <rFont val="Tahoma"/>
            <family val="2"/>
          </rPr>
          <t xml:space="preserve">
Refers numbered definitions in file TestPars1.docx</t>
        </r>
      </text>
    </comment>
    <comment ref="F14" authorId="0" shapeId="0" xr:uid="{83474FFC-020B-48D6-98D1-3E592ECFDFC8}">
      <text>
        <r>
          <rPr>
            <b/>
            <sz val="9"/>
            <color indexed="81"/>
            <rFont val="Tahoma"/>
            <family val="2"/>
          </rPr>
          <t>Ralf Peek:</t>
        </r>
        <r>
          <rPr>
            <sz val="9"/>
            <color indexed="81"/>
            <rFont val="Tahoma"/>
            <family val="2"/>
          </rPr>
          <t xml:space="preserve">
Variable name in visual basic code</t>
        </r>
      </text>
    </comment>
    <comment ref="G33" authorId="0" shapeId="0" xr:uid="{D5869C1A-94BF-4557-AE08-E4E20F6AA019}">
      <text>
        <r>
          <rPr>
            <b/>
            <sz val="9"/>
            <color indexed="81"/>
            <rFont val="Tahoma"/>
            <family val="2"/>
          </rPr>
          <t>Ralf Peek:</t>
        </r>
        <r>
          <rPr>
            <sz val="9"/>
            <color indexed="81"/>
            <rFont val="Tahoma"/>
            <family val="2"/>
          </rPr>
          <t xml:space="preserve">
call mass calcs based on this value, except zchk.</t>
        </r>
      </text>
    </comment>
    <comment ref="G34" authorId="0" shapeId="0" xr:uid="{2A0C8BB7-1A3C-4462-9B67-7AD10357DA42}">
      <text>
        <r>
          <rPr>
            <b/>
            <sz val="9"/>
            <color indexed="81"/>
            <rFont val="Tahoma"/>
            <family val="2"/>
          </rPr>
          <t>Ralf Peek:</t>
        </r>
        <r>
          <rPr>
            <sz val="9"/>
            <color indexed="81"/>
            <rFont val="Tahoma"/>
            <family val="2"/>
          </rPr>
          <t xml:space="preserve">
these values are not reliable and ignored.  all mass calculations based on m_air.</t>
        </r>
      </text>
    </comment>
    <comment ref="G35" authorId="0" shapeId="0" xr:uid="{354CDAB5-7113-48A1-ACE4-818B0B0D94A9}">
      <text>
        <r>
          <rPr>
            <b/>
            <sz val="9"/>
            <color indexed="81"/>
            <rFont val="Tahoma"/>
            <family val="2"/>
          </rPr>
          <t>Ralf Peek:</t>
        </r>
        <r>
          <rPr>
            <sz val="9"/>
            <color indexed="81"/>
            <rFont val="Tahoma"/>
            <family val="2"/>
          </rPr>
          <t xml:space="preserve">
not used in calcs except for zero checks ("zchk")</t>
        </r>
      </text>
    </comment>
    <comment ref="E37" authorId="0" shapeId="0" xr:uid="{6382D127-2418-4618-AAF5-9A17DCCF1632}">
      <text>
        <r>
          <rPr>
            <b/>
            <sz val="9"/>
            <color indexed="81"/>
            <rFont val="Tahoma"/>
            <family val="2"/>
          </rPr>
          <t>Ralf Peek:</t>
        </r>
        <r>
          <rPr>
            <sz val="9"/>
            <color indexed="81"/>
            <rFont val="Tahoma"/>
            <family val="2"/>
          </rPr>
          <t xml:space="preserve">
Except for Octavio's results, it is not clear whether 5 or 6 is given.</t>
        </r>
      </text>
    </comment>
    <comment ref="H65" authorId="0" shapeId="0" xr:uid="{6E27C1C8-25DE-4D7E-8FB0-6B391E0AB0B9}">
      <text>
        <r>
          <rPr>
            <b/>
            <sz val="9"/>
            <color indexed="81"/>
            <rFont val="Tahoma"/>
            <family val="2"/>
          </rPr>
          <t>Ralf Peek:</t>
        </r>
        <r>
          <rPr>
            <sz val="9"/>
            <color indexed="81"/>
            <rFont val="Tahoma"/>
            <family val="2"/>
          </rPr>
          <t xml:space="preserve">
The effective frequency for fatigue damage is chosen to give the correct fatigue damage rate when it is calculated assuming cycles at a constant amplitude of sqrt(2) times the standard deviation.</t>
        </r>
      </text>
    </comment>
    <comment ref="G82" authorId="0" shapeId="0" xr:uid="{61847C59-4680-492A-B30F-B5F851756DD1}">
      <text>
        <r>
          <rPr>
            <b/>
            <sz val="9"/>
            <color indexed="81"/>
            <rFont val="Tahoma"/>
            <family val="2"/>
          </rPr>
          <t>Ralf Peek:</t>
        </r>
        <r>
          <rPr>
            <sz val="9"/>
            <color indexed="81"/>
            <rFont val="Tahoma"/>
            <family val="2"/>
          </rPr>
          <t xml:space="preserve">
This is only used to check consistency of some of Octavio's calculations.</t>
        </r>
      </text>
    </comment>
    <comment ref="I91" authorId="1" shapeId="0" xr:uid="{03C06EEF-5732-4204-8D31-43B820076430}">
      <text>
        <t>[Threaded comment]
Your version of Excel allows you to read this threaded comment; however, any edits to it will get removed if the file is opened in a newer version of Excel. Learn more: https://go.microsoft.com/fwlink/?linkid=870924
Comment:
    y if self-checked</t>
      </text>
    </comment>
    <comment ref="G93" authorId="2" shapeId="0" xr:uid="{F17B83FD-9C4E-4781-B5DC-25FD81D5E752}">
      <text>
        <t>[Threaded comment]
Your version of Excel allows you to read this threaded comment; however, any edits to it will get removed if the file is opened in a newer version of Excel. Learn more: https://go.microsoft.com/fwlink/?linkid=870924
Comment:
    formula schkd</t>
      </text>
    </comment>
    <comment ref="G102" authorId="0" shapeId="0" xr:uid="{F9A92348-4B71-42A3-A204-D152D3768DDE}">
      <text>
        <r>
          <rPr>
            <b/>
            <sz val="9"/>
            <color indexed="81"/>
            <rFont val="Tahoma"/>
            <family val="2"/>
          </rPr>
          <t>Ralf Peek:</t>
        </r>
        <r>
          <rPr>
            <sz val="9"/>
            <color indexed="81"/>
            <rFont val="Tahoma"/>
            <family val="2"/>
          </rPr>
          <t xml:space="preserve">
Same value used for both in-line and cross flow.  When the displacement is not available, it appears as zero, and for this case the CF values is used.</t>
        </r>
      </text>
    </comment>
    <comment ref="G124" authorId="3" shapeId="0" xr:uid="{10E472EE-CDF4-4CB0-9490-A32E79C8BBAA}">
      <text>
        <t>[Threaded comment]
Your version of Excel allows you to read this threaded comment; however, any edits to it will get removed if the file is opened in a newer version of Excel. Learn more: https://go.microsoft.com/fwlink/?linkid=870924
Comment:
    For info only; not used.</t>
      </text>
    </comment>
    <comment ref="G125" authorId="0" shapeId="0" xr:uid="{1A1B1AE0-5B4F-4568-A1E6-B33075958FE7}">
      <text>
        <r>
          <rPr>
            <b/>
            <sz val="9"/>
            <color indexed="81"/>
            <rFont val="Tahoma"/>
            <family val="2"/>
          </rPr>
          <t>Ralf Peek:</t>
        </r>
        <r>
          <rPr>
            <sz val="9"/>
            <color indexed="81"/>
            <rFont val="Tahoma"/>
            <family val="2"/>
          </rPr>
          <t xml:space="preserve">
This drag coefficient is determined based on the axial forces at zero current and under flowing conditions, by assuming that the increase in axial force is only due to the drag force, which is assumed to be  0.5 Cd rho U^2 D  over the whole length of the pipe.
Errors may arrise since:
1)  Drag force will very with local VIV amplitudes.
2)  There may be a further increase in the average axial force due to geometrically nonlinear effects associated with the dynamic part of the response.</t>
        </r>
      </text>
    </comment>
    <comment ref="H127" authorId="0" shapeId="0" xr:uid="{2ACC6B7D-80F0-47AC-A42D-49D78CA93C40}">
      <text>
        <r>
          <rPr>
            <b/>
            <sz val="9"/>
            <color indexed="81"/>
            <rFont val="Tahoma"/>
            <family val="2"/>
          </rPr>
          <t>Ralf Peek:</t>
        </r>
        <r>
          <rPr>
            <sz val="9"/>
            <color indexed="81"/>
            <rFont val="Tahoma"/>
            <family val="2"/>
          </rPr>
          <t xml:space="preserve">
Structural diameter is defined as the diameter of a thin walled pipe that has the same ei/ea ratio.</t>
        </r>
      </text>
    </comment>
    <comment ref="H144" authorId="0" shapeId="0" xr:uid="{282172C1-AEC3-45FC-A454-713EB504F6B8}">
      <text>
        <r>
          <rPr>
            <b/>
            <sz val="9"/>
            <color indexed="81"/>
            <rFont val="Tahoma"/>
            <family val="2"/>
          </rPr>
          <t>Ralf Peek:</t>
        </r>
        <r>
          <rPr>
            <sz val="9"/>
            <color indexed="81"/>
            <rFont val="Tahoma"/>
            <family val="2"/>
          </rPr>
          <t xml:space="preserve">
this gives a reference value of the rotation due to cross flow VIV based on the strouhal wave length and rms strain.</t>
        </r>
      </text>
    </comment>
    <comment ref="G170" authorId="0" shapeId="0" xr:uid="{C8F03560-4875-4CD5-B321-650A2BD6B06E}">
      <text>
        <r>
          <rPr>
            <b/>
            <sz val="9"/>
            <color indexed="81"/>
            <rFont val="Tahoma"/>
            <family val="2"/>
          </rPr>
          <t>Ralf Peek:</t>
        </r>
        <r>
          <rPr>
            <sz val="9"/>
            <color indexed="81"/>
            <rFont val="Tahoma"/>
            <family val="2"/>
          </rPr>
          <t xml:space="preserve">
These cells are calculated by macro upAET.</t>
        </r>
      </text>
    </comment>
    <comment ref="H170" authorId="0" shapeId="0" xr:uid="{7181FFAF-985E-4062-97D3-A95796803598}">
      <text>
        <r>
          <rPr>
            <b/>
            <sz val="9"/>
            <color indexed="81"/>
            <rFont val="Tahoma"/>
            <family val="2"/>
          </rPr>
          <t>Ralf Peek:</t>
        </r>
        <r>
          <rPr>
            <sz val="9"/>
            <color indexed="81"/>
            <rFont val="Tahoma"/>
            <family val="2"/>
          </rPr>
          <t xml:space="preserve">
SpanFat performs the analysis according to the mult-mode approach in DNVGL-RP-F105, calculating the mode shapes on the assumption that the axial force is constant.  (Thus IL and CF modes have the same frequencies and shapes.)</t>
        </r>
      </text>
    </comment>
    <comment ref="G176" authorId="0" shapeId="0" xr:uid="{88E70F1E-B6B3-4A07-8794-6D2224573A33}">
      <text>
        <r>
          <rPr>
            <b/>
            <sz val="9"/>
            <color indexed="81"/>
            <rFont val="Tahoma"/>
            <family val="2"/>
          </rPr>
          <t>Ralf Peek:</t>
        </r>
        <r>
          <rPr>
            <sz val="9"/>
            <color indexed="81"/>
            <rFont val="Tahoma"/>
            <family val="2"/>
          </rPr>
          <t xml:space="preserve">
These cells are calculated by macro upAETa.</t>
        </r>
      </text>
    </comment>
    <comment ref="H176" authorId="0" shapeId="0" xr:uid="{74AB41E8-84E4-4251-A694-5FBA7718F4CC}">
      <text>
        <r>
          <rPr>
            <b/>
            <sz val="9"/>
            <color indexed="81"/>
            <rFont val="Tahoma"/>
            <family val="2"/>
          </rPr>
          <t>Ralf Peek:</t>
        </r>
        <r>
          <rPr>
            <sz val="9"/>
            <color indexed="81"/>
            <rFont val="Tahoma"/>
            <family val="2"/>
          </rPr>
          <t xml:space="preserve">
SpanFat performs the analysis according to the mult-mode approach in DNVGL-RP-F105, calculating the mode shapes on the assumption that the axial force is constant.  (Thus IL and CF modes have the same frequencies and shapes.)</t>
        </r>
      </text>
    </comment>
    <comment ref="B183" authorId="0" shapeId="0" xr:uid="{65D9BE4B-87DE-4D91-A674-1C23DFED8C14}">
      <text>
        <r>
          <rPr>
            <b/>
            <sz val="9"/>
            <color indexed="81"/>
            <rFont val="Tahoma"/>
            <family val="2"/>
          </rPr>
          <t>Ralf Peek:</t>
        </r>
        <r>
          <rPr>
            <sz val="9"/>
            <color indexed="81"/>
            <rFont val="Tahoma"/>
            <family val="2"/>
          </rPr>
          <t xml:space="preserve">
Current velocity Uc_p is determined for similarity with the model test.</t>
        </r>
      </text>
    </comment>
    <comment ref="F184" authorId="0" shapeId="0" xr:uid="{9BF1127D-036C-42CD-BCD8-A65A251584AC}">
      <text>
        <r>
          <rPr>
            <b/>
            <sz val="9"/>
            <color indexed="81"/>
            <rFont val="Tahoma"/>
            <family val="2"/>
          </rPr>
          <t>Ralf Peek:</t>
        </r>
        <r>
          <rPr>
            <sz val="9"/>
            <color indexed="81"/>
            <rFont val="Tahoma"/>
            <family val="2"/>
          </rPr>
          <t xml:space="preserve">
_p stands for the "prototype" which means the span or pipe to be assessed  as opposed to the model span or pipe.</t>
        </r>
      </text>
    </comment>
    <comment ref="H184" authorId="0" shapeId="0" xr:uid="{DFA9027C-371C-4549-A88A-D5D2A10F09F9}">
      <text>
        <r>
          <rPr>
            <b/>
            <sz val="9"/>
            <color indexed="81"/>
            <rFont val="Tahoma"/>
            <family val="2"/>
          </rPr>
          <t>Ralf Peek:</t>
        </r>
        <r>
          <rPr>
            <sz val="9"/>
            <color indexed="81"/>
            <rFont val="Tahoma"/>
            <family val="2"/>
          </rPr>
          <t xml:space="preserve">
Default consistent units used are based on:
m for length
MN for force
Gg  for mass
s  for time.</t>
        </r>
      </text>
    </comment>
    <comment ref="G258" authorId="0" shapeId="0" xr:uid="{07CBDFD4-0960-4F57-996A-E82CA082E5D0}">
      <text>
        <r>
          <rPr>
            <b/>
            <sz val="9"/>
            <color indexed="81"/>
            <rFont val="Tahoma"/>
            <family val="2"/>
          </rPr>
          <t>Ralf Peek:</t>
        </r>
        <r>
          <rPr>
            <sz val="9"/>
            <color indexed="81"/>
            <rFont val="Tahoma"/>
            <family val="2"/>
          </rPr>
          <t xml:space="preserve">
Calculated by running macro upAETp.  (This requires SpanFat.exe and r.bat in the folder specified on cell "CurrentFolder".)</t>
        </r>
      </text>
    </comment>
    <comment ref="G264" authorId="4" shapeId="0" xr:uid="{39D38C13-08B6-4072-9A4F-38DE9B4A8337}">
      <text>
        <t>[Threaded comment]
Your version of Excel allows you to read this threaded comment; however, any edits to it will get removed if the file is opened in a newer version of Excel. Learn more: https://go.microsoft.com/fwlink/?linkid=870924
Comment:
    Verified on an example that these are zero when there is no adjustment of the EI and N values for the prototype, and the mratio values for model and prototype also match.
Otherwise they are not zero.</t>
      </text>
    </comment>
    <comment ref="G267" authorId="0" shapeId="0" xr:uid="{8FD30FBD-3117-4A39-8C52-0A589B7214C4}">
      <text>
        <r>
          <rPr>
            <b/>
            <sz val="9"/>
            <color indexed="81"/>
            <rFont val="Tahoma"/>
            <family val="2"/>
          </rPr>
          <t>Ralf Peek:</t>
        </r>
        <r>
          <rPr>
            <sz val="9"/>
            <color indexed="81"/>
            <rFont val="Tahoma"/>
            <family val="2"/>
          </rPr>
          <t xml:space="preserve">
Calculated by running macro upAETap.  (This requires SpanFat.exe and r.bat in the folder specified on cell "CurrentFolder".)</t>
        </r>
      </text>
    </comment>
    <comment ref="F276" authorId="0" shapeId="0" xr:uid="{E13768F2-6DB2-4961-B4D7-2D3B667ED062}">
      <text>
        <r>
          <rPr>
            <b/>
            <sz val="9"/>
            <color indexed="81"/>
            <rFont val="Tahoma"/>
            <family val="2"/>
          </rPr>
          <t>Ralf Peek:</t>
        </r>
        <r>
          <rPr>
            <sz val="9"/>
            <color indexed="81"/>
            <rFont val="Tahoma"/>
            <family val="2"/>
          </rPr>
          <t xml:space="preserve">
values shown only depend on prototype inputs, and not on VIV test considered.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tc={FB0C493B-6DDC-4ED8-B212-2DDD5181F878}</author>
    <author>Ralf Peek</author>
    <author>tc={C17D6228-B6EB-4414-A1AA-454AFD694338}</author>
    <author>tc={FD8D13EF-C011-42D8-9179-C733A78FF125}</author>
    <author>tc={62F24396-6C13-4EEB-9FB0-BE2008C26E58}</author>
    <author>tc={A92C6025-8701-4483-B268-A48046E88C4B}</author>
  </authors>
  <commentList>
    <comment ref="C1" authorId="0" shapeId="0" xr:uid="{FB0C493B-6DDC-4ED8-B212-2DDD5181F878}">
      <text>
        <t>[Threaded comment]
Your version of Excel allows you to read this threaded comment; however, any edits to it will get removed if the file is opened in a newer version of Excel. Learn more: https://go.microsoft.com/fwlink/?linkid=870924
Comment:
    Ranges include only tests on bare pipe (pctGap=100)</t>
      </text>
    </comment>
    <comment ref="AE3" authorId="1" shapeId="0" xr:uid="{258A4E05-27FC-4929-8479-0D498F64E883}">
      <text>
        <r>
          <rPr>
            <b/>
            <sz val="9"/>
            <color indexed="81"/>
            <rFont val="Tahoma"/>
            <family val="2"/>
          </rPr>
          <t>Ralf Peek:</t>
        </r>
        <r>
          <rPr>
            <sz val="9"/>
            <color indexed="81"/>
            <rFont val="Tahoma"/>
            <family val="2"/>
          </rPr>
          <t xml:space="preserve">
All rows up to the blank cell in this column are input.
Thost that follow are calculated with the formulae on sheet c by selecting this cell and running 
gsensiR</t>
        </r>
      </text>
    </comment>
    <comment ref="DY4" authorId="2" shapeId="0" xr:uid="{C17D6228-B6EB-4414-A1AA-454AFD694338}">
      <text>
        <t>[Threaded comment]
Your version of Excel allows you to read this threaded comment; however, any edits to it will get removed if the file is opened in a newer version of Excel. Learn more: https://go.microsoft.com/fwlink/?linkid=870924
Comment:
    Roughness increased by gluing P40 sand paper to the outside of the
pipe.</t>
      </text>
    </comment>
    <comment ref="AE29" authorId="1" shapeId="0" xr:uid="{B78BA29C-17A7-4C03-9112-D392D24F2C5F}">
      <text>
        <r>
          <rPr>
            <b/>
            <sz val="9"/>
            <color indexed="81"/>
            <rFont val="Tahoma"/>
            <family val="2"/>
          </rPr>
          <t>Ralf Peek:</t>
        </r>
        <r>
          <rPr>
            <sz val="9"/>
            <color indexed="81"/>
            <rFont val="Tahoma"/>
            <family val="2"/>
          </rPr>
          <t xml:space="preserve">
For displacements, 0 means that the displacement is not available.</t>
        </r>
      </text>
    </comment>
    <comment ref="AF45" authorId="3" shapeId="0" xr:uid="{FD8D13EF-C011-42D8-9179-C733A78FF125}">
      <text>
        <t>[Threaded comment]
Your version of Excel allows you to read this threaded comment; however, any edits to it will get removed if the file is opened in a newer version of Excel. Learn more: https://go.microsoft.com/fwlink/?linkid=870924
Comment:
    "ne" meanst "not estimated"</t>
      </text>
    </comment>
    <comment ref="DU59" authorId="1" shapeId="0" xr:uid="{30DD1DEB-F4FC-47AD-904F-684FEB182FD3}">
      <text>
        <r>
          <rPr>
            <b/>
            <sz val="9"/>
            <color indexed="81"/>
            <rFont val="Tahoma"/>
            <family val="2"/>
          </rPr>
          <t>Ralf Peek:</t>
        </r>
        <r>
          <rPr>
            <sz val="9"/>
            <color indexed="81"/>
            <rFont val="Tahoma"/>
            <family val="2"/>
          </rPr>
          <t xml:space="preserve">
not estimated</t>
        </r>
      </text>
    </comment>
    <comment ref="AE68" authorId="1" shapeId="0" xr:uid="{66C81FBB-6114-4760-847C-D62DB16213F2}">
      <text>
        <r>
          <rPr>
            <b/>
            <sz val="9"/>
            <color indexed="81"/>
            <rFont val="Tahoma"/>
            <family val="2"/>
          </rPr>
          <t>Ralf Peek:</t>
        </r>
        <r>
          <rPr>
            <sz val="9"/>
            <color indexed="81"/>
            <rFont val="Tahoma"/>
            <family val="2"/>
          </rPr>
          <t xml:space="preserve">
Cells calculated by macro gsensiR start here.
The variable names in this column until the next blank cell are input to gsensiR.</t>
        </r>
      </text>
    </comment>
    <comment ref="AF68" authorId="1" shapeId="0" xr:uid="{DB38DA66-3FBD-4092-96F0-CD2797BA252E}">
      <text>
        <r>
          <rPr>
            <b/>
            <sz val="9"/>
            <color indexed="81"/>
            <rFont val="Tahoma"/>
            <family val="2"/>
          </rPr>
          <t>Ralf Peek:</t>
        </r>
        <r>
          <rPr>
            <sz val="9"/>
            <color indexed="81"/>
            <rFont val="Tahoma"/>
            <family val="2"/>
          </rPr>
          <t xml:space="preserve">
cells in blue calculated by the macro run_gensir using formulae on sheet "c" for one of the cases.</t>
        </r>
      </text>
    </comment>
    <comment ref="AE126" authorId="1" shapeId="0" xr:uid="{2ACD1E34-086A-428F-AD10-E9F3206ADB46}">
      <text>
        <r>
          <rPr>
            <b/>
            <sz val="9"/>
            <color indexed="81"/>
            <rFont val="Tahoma"/>
            <family val="2"/>
          </rPr>
          <t>Ralf Peek:</t>
        </r>
        <r>
          <rPr>
            <sz val="9"/>
            <color indexed="81"/>
            <rFont val="Tahoma"/>
            <family val="2"/>
          </rPr>
          <t xml:space="preserve">
The button above will delete all blue numbers above each "y" so that these cases are not included in the plots.  The blue numbers are regenerated by the "Update" button.</t>
        </r>
      </text>
    </comment>
    <comment ref="AE148" authorId="1" shapeId="0" xr:uid="{000EA141-3C0A-4037-B2E8-3C2F812B5B42}">
      <text>
        <r>
          <rPr>
            <b/>
            <sz val="9"/>
            <color indexed="81"/>
            <rFont val="Tahoma"/>
            <family val="2"/>
          </rPr>
          <t>Ralf Peek:</t>
        </r>
        <r>
          <rPr>
            <sz val="9"/>
            <color indexed="81"/>
            <rFont val="Tahoma"/>
            <family val="2"/>
          </rPr>
          <t xml:space="preserve">
From here on the cells will only be updated correctly if rsf="y", which will run SpanFat, requires SpanFat.exe to be present in "CurrentFolder", requires a file "r.bat" with the commant "SpanFat.exe &gt;out", and will take some time to run.
To not update these cells, set rsf="n", and insert a blank line above this cell.
A blank line above this cell will cause the macro to stop without updating the green numbers.  Otherwise the green numbers are changed incorrectly when rsf="n".</t>
        </r>
      </text>
    </comment>
    <comment ref="AE152" authorId="1" shapeId="0" xr:uid="{93609B85-36F6-460D-855E-F2AF31AA1167}">
      <text>
        <r>
          <rPr>
            <b/>
            <sz val="9"/>
            <color indexed="81"/>
            <rFont val="Tahoma"/>
            <family val="2"/>
          </rPr>
          <t>Ralf Peek:</t>
        </r>
        <r>
          <rPr>
            <sz val="9"/>
            <color indexed="81"/>
            <rFont val="Tahoma"/>
            <family val="2"/>
          </rPr>
          <t xml:space="preserve">
This row and the next 3 are the same as the above 4, but including arch action in the SpanFat analysis.</t>
        </r>
      </text>
    </comment>
    <comment ref="AE157" authorId="1" shapeId="0" xr:uid="{B4177BF9-9F11-411E-8D27-12D5AC7C773A}">
      <text>
        <r>
          <rPr>
            <b/>
            <sz val="9"/>
            <color indexed="81"/>
            <rFont val="Tahoma"/>
            <family val="2"/>
          </rPr>
          <t>Ralf Peek:</t>
        </r>
        <r>
          <rPr>
            <sz val="9"/>
            <color indexed="81"/>
            <rFont val="Tahoma"/>
            <family val="2"/>
          </rPr>
          <t xml:space="preserve">
Cells calculated with in-cell formulae start here.</t>
        </r>
      </text>
    </comment>
    <comment ref="AE187" authorId="4" shapeId="0" xr:uid="{62F24396-6C13-4EEB-9FB0-BE2008C26E58}">
      <text>
        <t>[Threaded comment]
Your version of Excel allows you to read this threaded comment; however, any edits to it will get removed if the file is opened in a newer version of Excel. Learn more: https://go.microsoft.com/fwlink/?linkid=870924
Comment:
    Prototype fatigue damage rate from scaling divided by that from F105 at the same current velocity.
Reply:
    F105 values include arch action.</t>
      </text>
    </comment>
    <comment ref="AE189" authorId="5" shapeId="0" xr:uid="{A92C6025-8701-4483-B268-A48046E88C4B}">
      <text>
        <t>[Threaded comment]
Your version of Excel allows you to read this threaded comment; however, any edits to it will get removed if the file is opened in a newer version of Excel. Learn more: https://go.microsoft.com/fwlink/?linkid=870924
Comment:
    Only data with current velocity of 0.6m/s or more included</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Ralf Peek</author>
  </authors>
  <commentList>
    <comment ref="C7" authorId="0" shapeId="0" xr:uid="{1CCBE06D-A836-4D8F-8353-18A66835C983}">
      <text>
        <r>
          <rPr>
            <b/>
            <sz val="9"/>
            <color indexed="81"/>
            <rFont val="Tahoma"/>
            <family val="2"/>
          </rPr>
          <t>Ralf Peek:</t>
        </r>
        <r>
          <rPr>
            <sz val="9"/>
            <color indexed="81"/>
            <rFont val="Tahoma"/>
            <family val="2"/>
          </rPr>
          <t xml:space="preserve">
used for thickness factor in fatigue only.  Does not affect results unless a value larger than 25 [mm] is used</t>
        </r>
      </text>
    </comment>
    <comment ref="C10" authorId="0" shapeId="0" xr:uid="{0594757F-DD02-42E6-8F05-00448C526DF7}">
      <text>
        <r>
          <rPr>
            <b/>
            <sz val="9"/>
            <color indexed="81"/>
            <rFont val="Tahoma"/>
            <family val="2"/>
          </rPr>
          <t>Ralf Peek:</t>
        </r>
        <r>
          <rPr>
            <sz val="9"/>
            <color indexed="81"/>
            <rFont val="Tahoma"/>
            <family val="2"/>
          </rPr>
          <t xml:space="preserve">
number of in line modes</t>
        </r>
      </text>
    </comment>
    <comment ref="D10" authorId="0" shapeId="0" xr:uid="{57FEEEEC-8BB8-45AE-A4D2-B146E0507E47}">
      <text>
        <r>
          <rPr>
            <b/>
            <sz val="9"/>
            <color indexed="81"/>
            <rFont val="Tahoma"/>
            <family val="2"/>
          </rPr>
          <t>Ralf Peek:</t>
        </r>
        <r>
          <rPr>
            <sz val="9"/>
            <color indexed="81"/>
            <rFont val="Tahoma"/>
            <family val="2"/>
          </rPr>
          <t xml:space="preserve">
number of CF modes</t>
        </r>
      </text>
    </comment>
    <comment ref="C12" authorId="0" shapeId="0" xr:uid="{C7463C5B-3B1F-4060-BF05-D5F275680D5C}">
      <text>
        <r>
          <rPr>
            <b/>
            <sz val="9"/>
            <color indexed="81"/>
            <rFont val="Tahoma"/>
            <family val="2"/>
          </rPr>
          <t>Ralf Peek:</t>
        </r>
        <r>
          <rPr>
            <sz val="9"/>
            <color indexed="81"/>
            <rFont val="Tahoma"/>
            <family val="2"/>
          </rPr>
          <t xml:space="preserve">
number of "elements" of equal length the span is divided into with displacements, stresses, fatigue damage etc. calculated at the nodes, excluding nodes at the ends of the model.</t>
        </r>
      </text>
    </comment>
    <comment ref="D17" authorId="0" shapeId="0" xr:uid="{F2779C67-E84A-4A6B-AE50-5DA0815DDF5D}">
      <text>
        <r>
          <rPr>
            <b/>
            <sz val="9"/>
            <color indexed="81"/>
            <rFont val="Tahoma"/>
            <family val="2"/>
          </rPr>
          <t>Ralf Peek:
IL damping ratio</t>
        </r>
      </text>
    </comment>
    <comment ref="D20" authorId="0" shapeId="0" xr:uid="{D0D02A2D-882C-446B-B620-5099E5D02D60}">
      <text>
        <r>
          <rPr>
            <b/>
            <sz val="9"/>
            <color indexed="81"/>
            <rFont val="Tahoma"/>
            <family val="2"/>
          </rPr>
          <t>Ralf Peek:</t>
        </r>
        <r>
          <rPr>
            <sz val="9"/>
            <color indexed="81"/>
            <rFont val="Tahoma"/>
            <family val="2"/>
          </rPr>
          <t xml:space="preserve">
CF damping ratio</t>
        </r>
      </text>
    </comment>
    <comment ref="F23" authorId="0" shapeId="0" xr:uid="{0E25FD40-C5F0-4BBA-BB98-38A18F409CCC}">
      <text>
        <r>
          <rPr>
            <b/>
            <sz val="9"/>
            <color indexed="81"/>
            <rFont val="Tahoma"/>
            <family val="2"/>
          </rPr>
          <t>Ralf Peek:</t>
        </r>
        <r>
          <rPr>
            <sz val="9"/>
            <color indexed="81"/>
            <rFont val="Tahoma"/>
            <family val="2"/>
          </rPr>
          <t xml:space="preserve">
These may be hard wired into FatFree, but user-set in SpanFat.  Values here apply without safety factors.</t>
        </r>
      </text>
    </comment>
    <comment ref="C35" authorId="0" shapeId="0" xr:uid="{884BBCA3-A0EC-4A16-94B9-217EFDF09EB9}">
      <text>
        <r>
          <rPr>
            <b/>
            <sz val="9"/>
            <color indexed="81"/>
            <rFont val="Tahoma"/>
            <family val="2"/>
          </rPr>
          <t>Ralf Peek:</t>
        </r>
        <r>
          <rPr>
            <sz val="9"/>
            <color indexed="81"/>
            <rFont val="Tahoma"/>
            <family val="2"/>
          </rPr>
          <t xml:space="preserve">
turbulence of flow, "Ic" in F105, used in IL VIV response function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Ralf Peek</author>
  </authors>
  <commentList>
    <comment ref="C7" authorId="0" shapeId="0" xr:uid="{EA0B736A-6B3D-4F91-A6B9-FA33AB16A7C7}">
      <text>
        <r>
          <rPr>
            <b/>
            <sz val="9"/>
            <color indexed="81"/>
            <rFont val="Tahoma"/>
            <family val="2"/>
          </rPr>
          <t>Ralf Peek:</t>
        </r>
        <r>
          <rPr>
            <sz val="9"/>
            <color indexed="81"/>
            <rFont val="Tahoma"/>
            <family val="2"/>
          </rPr>
          <t xml:space="preserve">
used for thickness factor in fatigue only.  Does not affect results unless a value larger than 25 [mm] is used</t>
        </r>
      </text>
    </comment>
    <comment ref="C10" authorId="0" shapeId="0" xr:uid="{BF02EFE6-270C-4EF6-B442-ABDD22D360AD}">
      <text>
        <r>
          <rPr>
            <b/>
            <sz val="9"/>
            <color indexed="81"/>
            <rFont val="Tahoma"/>
            <family val="2"/>
          </rPr>
          <t>Ralf Peek:</t>
        </r>
        <r>
          <rPr>
            <sz val="9"/>
            <color indexed="81"/>
            <rFont val="Tahoma"/>
            <family val="2"/>
          </rPr>
          <t xml:space="preserve">
number of in line modes</t>
        </r>
      </text>
    </comment>
    <comment ref="D10" authorId="0" shapeId="0" xr:uid="{5B0D24C7-58B5-46DE-ABD3-34AC7A541A2B}">
      <text>
        <r>
          <rPr>
            <b/>
            <sz val="9"/>
            <color indexed="81"/>
            <rFont val="Tahoma"/>
            <family val="2"/>
          </rPr>
          <t>Ralf Peek:</t>
        </r>
        <r>
          <rPr>
            <sz val="9"/>
            <color indexed="81"/>
            <rFont val="Tahoma"/>
            <family val="2"/>
          </rPr>
          <t xml:space="preserve">
number of CF modes</t>
        </r>
      </text>
    </comment>
    <comment ref="C12" authorId="0" shapeId="0" xr:uid="{6CC63B57-FFBA-4CC5-BFBB-9CC2C94549BF}">
      <text>
        <r>
          <rPr>
            <b/>
            <sz val="9"/>
            <color indexed="81"/>
            <rFont val="Tahoma"/>
            <family val="2"/>
          </rPr>
          <t>Ralf Peek:</t>
        </r>
        <r>
          <rPr>
            <sz val="9"/>
            <color indexed="81"/>
            <rFont val="Tahoma"/>
            <family val="2"/>
          </rPr>
          <t xml:space="preserve">
number of "elements" of equal length the span is divided into with displacements, stresses, fatigue damage etc. calculated at the nodes, excluding nodes at the ends of the model.</t>
        </r>
      </text>
    </comment>
    <comment ref="D19" authorId="0" shapeId="0" xr:uid="{4CF4EC55-61C7-4562-9862-8C0810D807C4}">
      <text>
        <r>
          <rPr>
            <b/>
            <sz val="9"/>
            <color indexed="81"/>
            <rFont val="Tahoma"/>
            <family val="2"/>
          </rPr>
          <t>Ralf Peek:
IL damping ratio</t>
        </r>
      </text>
    </comment>
    <comment ref="D22" authorId="0" shapeId="0" xr:uid="{D5EB0B93-E8BE-4983-B031-E7746B5BA7CE}">
      <text>
        <r>
          <rPr>
            <b/>
            <sz val="9"/>
            <color indexed="81"/>
            <rFont val="Tahoma"/>
            <family val="2"/>
          </rPr>
          <t>Ralf Peek:</t>
        </r>
        <r>
          <rPr>
            <sz val="9"/>
            <color indexed="81"/>
            <rFont val="Tahoma"/>
            <family val="2"/>
          </rPr>
          <t xml:space="preserve">
CF damping ratio</t>
        </r>
      </text>
    </comment>
    <comment ref="F25" authorId="0" shapeId="0" xr:uid="{D730705A-88B1-4D33-BDDF-A09E53E7BD87}">
      <text>
        <r>
          <rPr>
            <b/>
            <sz val="9"/>
            <color indexed="81"/>
            <rFont val="Tahoma"/>
            <family val="2"/>
          </rPr>
          <t>Ralf Peek:</t>
        </r>
        <r>
          <rPr>
            <sz val="9"/>
            <color indexed="81"/>
            <rFont val="Tahoma"/>
            <family val="2"/>
          </rPr>
          <t xml:space="preserve">
These may be hard wired into FatFree, but user-set in SpanFat.  Values here apply without safety factors.</t>
        </r>
      </text>
    </comment>
    <comment ref="C37" authorId="0" shapeId="0" xr:uid="{935E2AAD-CF5A-487B-A7F1-2A828B29E82E}">
      <text>
        <r>
          <rPr>
            <b/>
            <sz val="9"/>
            <color indexed="81"/>
            <rFont val="Tahoma"/>
            <family val="2"/>
          </rPr>
          <t>Ralf Peek:</t>
        </r>
        <r>
          <rPr>
            <sz val="9"/>
            <color indexed="81"/>
            <rFont val="Tahoma"/>
            <family val="2"/>
          </rPr>
          <t xml:space="preserve">
turbulence of flow, "Ic" in F105, used in IL VIV response function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Ralf Peek</author>
  </authors>
  <commentList>
    <comment ref="C7" authorId="0" shapeId="0" xr:uid="{08C8A4A5-4573-4441-971C-03BE92382802}">
      <text>
        <r>
          <rPr>
            <b/>
            <sz val="9"/>
            <color indexed="81"/>
            <rFont val="Tahoma"/>
            <family val="2"/>
          </rPr>
          <t>Ralf Peek:</t>
        </r>
        <r>
          <rPr>
            <sz val="9"/>
            <color indexed="81"/>
            <rFont val="Tahoma"/>
            <family val="2"/>
          </rPr>
          <t xml:space="preserve">
used for thickness factor in fatigue only.  Does not affect results unless a value larger than 25 [mm] is used</t>
        </r>
      </text>
    </comment>
    <comment ref="C10" authorId="0" shapeId="0" xr:uid="{6A637591-5219-409F-A08E-502AB272C295}">
      <text>
        <r>
          <rPr>
            <b/>
            <sz val="9"/>
            <color indexed="81"/>
            <rFont val="Tahoma"/>
            <family val="2"/>
          </rPr>
          <t>Ralf Peek:</t>
        </r>
        <r>
          <rPr>
            <sz val="9"/>
            <color indexed="81"/>
            <rFont val="Tahoma"/>
            <family val="2"/>
          </rPr>
          <t xml:space="preserve">
number of in line modes</t>
        </r>
      </text>
    </comment>
    <comment ref="D10" authorId="0" shapeId="0" xr:uid="{839B8A80-BDDF-4245-A8A5-4C5CC2519237}">
      <text>
        <r>
          <rPr>
            <b/>
            <sz val="9"/>
            <color indexed="81"/>
            <rFont val="Tahoma"/>
            <family val="2"/>
          </rPr>
          <t>Ralf Peek:</t>
        </r>
        <r>
          <rPr>
            <sz val="9"/>
            <color indexed="81"/>
            <rFont val="Tahoma"/>
            <family val="2"/>
          </rPr>
          <t xml:space="preserve">
number of CF modes</t>
        </r>
      </text>
    </comment>
    <comment ref="C12" authorId="0" shapeId="0" xr:uid="{033120DE-709B-41B7-8319-7C9B1895C4C2}">
      <text>
        <r>
          <rPr>
            <b/>
            <sz val="9"/>
            <color indexed="81"/>
            <rFont val="Tahoma"/>
            <family val="2"/>
          </rPr>
          <t>Ralf Peek:</t>
        </r>
        <r>
          <rPr>
            <sz val="9"/>
            <color indexed="81"/>
            <rFont val="Tahoma"/>
            <family val="2"/>
          </rPr>
          <t xml:space="preserve">
number of "elements" of equal length the span is divided into with displacements, stresses, fatigue damage etc. calculated at the nodes, excluding nodes at the ends of the model.</t>
        </r>
      </text>
    </comment>
    <comment ref="D17" authorId="0" shapeId="0" xr:uid="{D80ED62A-1CE0-4438-9D04-57AB303FE7C7}">
      <text>
        <r>
          <rPr>
            <b/>
            <sz val="9"/>
            <color indexed="81"/>
            <rFont val="Tahoma"/>
            <family val="2"/>
          </rPr>
          <t>Ralf Peek:
IL damping ratio</t>
        </r>
      </text>
    </comment>
    <comment ref="D20" authorId="0" shapeId="0" xr:uid="{9736992E-2DAA-4736-A9D2-FC5ED58E71D4}">
      <text>
        <r>
          <rPr>
            <b/>
            <sz val="9"/>
            <color indexed="81"/>
            <rFont val="Tahoma"/>
            <family val="2"/>
          </rPr>
          <t>Ralf Peek:</t>
        </r>
        <r>
          <rPr>
            <sz val="9"/>
            <color indexed="81"/>
            <rFont val="Tahoma"/>
            <family val="2"/>
          </rPr>
          <t xml:space="preserve">
CF damping ratio</t>
        </r>
      </text>
    </comment>
    <comment ref="F23" authorId="0" shapeId="0" xr:uid="{A8110055-6705-431E-A611-6FEFC7781587}">
      <text>
        <r>
          <rPr>
            <b/>
            <sz val="9"/>
            <color indexed="81"/>
            <rFont val="Tahoma"/>
            <family val="2"/>
          </rPr>
          <t>Ralf Peek:</t>
        </r>
        <r>
          <rPr>
            <sz val="9"/>
            <color indexed="81"/>
            <rFont val="Tahoma"/>
            <family val="2"/>
          </rPr>
          <t xml:space="preserve">
These may be hard wired into FatFree, but user-set in SpanFat.  Values here apply without safety factors.</t>
        </r>
      </text>
    </comment>
    <comment ref="C35" authorId="0" shapeId="0" xr:uid="{12BAB750-2088-4305-8BB8-44B962CEED3A}">
      <text>
        <r>
          <rPr>
            <b/>
            <sz val="9"/>
            <color indexed="81"/>
            <rFont val="Tahoma"/>
            <family val="2"/>
          </rPr>
          <t>Ralf Peek:</t>
        </r>
        <r>
          <rPr>
            <sz val="9"/>
            <color indexed="81"/>
            <rFont val="Tahoma"/>
            <family val="2"/>
          </rPr>
          <t xml:space="preserve">
turbulence of flow, "Ic" in F105, used in IL VIV response function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Ralf Peek</author>
  </authors>
  <commentList>
    <comment ref="C7" authorId="0" shapeId="0" xr:uid="{CAEF0651-D6A4-4836-9CCA-AE56373B3618}">
      <text>
        <r>
          <rPr>
            <b/>
            <sz val="9"/>
            <color indexed="81"/>
            <rFont val="Tahoma"/>
            <family val="2"/>
          </rPr>
          <t>Ralf Peek:</t>
        </r>
        <r>
          <rPr>
            <sz val="9"/>
            <color indexed="81"/>
            <rFont val="Tahoma"/>
            <family val="2"/>
          </rPr>
          <t xml:space="preserve">
used for thickness factor in fatigue only.  Does not affect results unless a value larger than 25 [mm] is used</t>
        </r>
      </text>
    </comment>
    <comment ref="C10" authorId="0" shapeId="0" xr:uid="{FB128454-30E6-4C87-8D2E-5B32B3B4C0C2}">
      <text>
        <r>
          <rPr>
            <b/>
            <sz val="9"/>
            <color indexed="81"/>
            <rFont val="Tahoma"/>
            <family val="2"/>
          </rPr>
          <t>Ralf Peek:</t>
        </r>
        <r>
          <rPr>
            <sz val="9"/>
            <color indexed="81"/>
            <rFont val="Tahoma"/>
            <family val="2"/>
          </rPr>
          <t xml:space="preserve">
number of in line modes</t>
        </r>
      </text>
    </comment>
    <comment ref="D10" authorId="0" shapeId="0" xr:uid="{D877633B-9D52-49C9-829A-8FFFC8E2D66B}">
      <text>
        <r>
          <rPr>
            <b/>
            <sz val="9"/>
            <color indexed="81"/>
            <rFont val="Tahoma"/>
            <family val="2"/>
          </rPr>
          <t>Ralf Peek:</t>
        </r>
        <r>
          <rPr>
            <sz val="9"/>
            <color indexed="81"/>
            <rFont val="Tahoma"/>
            <family val="2"/>
          </rPr>
          <t xml:space="preserve">
number of CF modes</t>
        </r>
      </text>
    </comment>
    <comment ref="C12" authorId="0" shapeId="0" xr:uid="{BB806FDF-E0B3-4A07-9BB2-A8C78FC0C002}">
      <text>
        <r>
          <rPr>
            <b/>
            <sz val="9"/>
            <color indexed="81"/>
            <rFont val="Tahoma"/>
            <family val="2"/>
          </rPr>
          <t>Ralf Peek:</t>
        </r>
        <r>
          <rPr>
            <sz val="9"/>
            <color indexed="81"/>
            <rFont val="Tahoma"/>
            <family val="2"/>
          </rPr>
          <t xml:space="preserve">
number of "elements" of equal length the span is divided into with displacements, stresses, fatigue damage etc. calculated at the nodes, excluding nodes at the ends of the model.</t>
        </r>
      </text>
    </comment>
    <comment ref="D19" authorId="0" shapeId="0" xr:uid="{C7F10072-8703-4D87-BF34-D1534D1ED474}">
      <text>
        <r>
          <rPr>
            <b/>
            <sz val="9"/>
            <color indexed="81"/>
            <rFont val="Tahoma"/>
            <family val="2"/>
          </rPr>
          <t>Ralf Peek:
IL damping ratio</t>
        </r>
      </text>
    </comment>
    <comment ref="D22" authorId="0" shapeId="0" xr:uid="{8B700DCF-4443-478C-AF6A-BF417C1F102D}">
      <text>
        <r>
          <rPr>
            <b/>
            <sz val="9"/>
            <color indexed="81"/>
            <rFont val="Tahoma"/>
            <family val="2"/>
          </rPr>
          <t>Ralf Peek:</t>
        </r>
        <r>
          <rPr>
            <sz val="9"/>
            <color indexed="81"/>
            <rFont val="Tahoma"/>
            <family val="2"/>
          </rPr>
          <t xml:space="preserve">
CF damping ratio</t>
        </r>
      </text>
    </comment>
    <comment ref="F25" authorId="0" shapeId="0" xr:uid="{F27F165B-57C1-4AB8-A5EA-5238776BE01A}">
      <text>
        <r>
          <rPr>
            <b/>
            <sz val="9"/>
            <color indexed="81"/>
            <rFont val="Tahoma"/>
            <family val="2"/>
          </rPr>
          <t>Ralf Peek:</t>
        </r>
        <r>
          <rPr>
            <sz val="9"/>
            <color indexed="81"/>
            <rFont val="Tahoma"/>
            <family val="2"/>
          </rPr>
          <t xml:space="preserve">
These may be hard wired into FatFree, but user-set in SpanFat.  Values here apply without safety factors.</t>
        </r>
      </text>
    </comment>
    <comment ref="C37" authorId="0" shapeId="0" xr:uid="{D10581ED-D75A-4678-9883-3B5DB0D22E17}">
      <text>
        <r>
          <rPr>
            <b/>
            <sz val="9"/>
            <color indexed="81"/>
            <rFont val="Tahoma"/>
            <family val="2"/>
          </rPr>
          <t>Ralf Peek:</t>
        </r>
        <r>
          <rPr>
            <sz val="9"/>
            <color indexed="81"/>
            <rFont val="Tahoma"/>
            <family val="2"/>
          </rPr>
          <t xml:space="preserve">
turbulence of flow, "Ic" in F105, used in IL VIV response function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tc={74F9FBDA-AB51-4B0C-9042-B6AF59CCE72F}</author>
    <author>tc={442D8AA3-D1AE-4F1A-A834-F92B1D1A6A77}</author>
    <author>tc={469F60E4-86CE-40EA-B216-9D23555922FA}</author>
    <author>tc={D6CB4A0C-B693-45F1-9746-EBC1A73BE5C7}</author>
  </authors>
  <commentList>
    <comment ref="J67" authorId="0" shapeId="0" xr:uid="{74F9FBDA-AB51-4B0C-9042-B6AF59CCE72F}">
      <text>
        <t>[Threaded comment]
Your version of Excel allows you to read this threaded comment; however, any edits to it will get removed if the file is opened in a newer version of Excel. Learn more: https://go.microsoft.com/fwlink/?linkid=870924
Comment:
    Initial guess for fitting parameters</t>
      </text>
    </comment>
    <comment ref="J77" authorId="1" shapeId="0" xr:uid="{442D8AA3-D1AE-4F1A-A834-F92B1D1A6A77}">
      <text>
        <t>[Threaded comment]
Your version of Excel allows you to read this threaded comment; however, any edits to it will get removed if the file is opened in a newer version of Excel. Learn more: https://go.microsoft.com/fwlink/?linkid=870924
Comment:
    Initial guess for fitting parameters</t>
      </text>
    </comment>
    <comment ref="J88" authorId="2" shapeId="0" xr:uid="{469F60E4-86CE-40EA-B216-9D23555922FA}">
      <text>
        <t>[Threaded comment]
Your version of Excel allows you to read this threaded comment; however, any edits to it will get removed if the file is opened in a newer version of Excel. Learn more: https://go.microsoft.com/fwlink/?linkid=870924
Comment:
    Initial guess for fitting parameters</t>
      </text>
    </comment>
    <comment ref="J99" authorId="3" shapeId="0" xr:uid="{D6CB4A0C-B693-45F1-9746-EBC1A73BE5C7}">
      <text>
        <t>[Threaded comment]
Your version of Excel allows you to read this threaded comment; however, any edits to it will get removed if the file is opened in a newer version of Excel. Learn more: https://go.microsoft.com/fwlink/?linkid=870924
Comment:
    Initial guess for fitting parameters</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<sst xmlns="http://schemas.openxmlformats.org/spreadsheetml/2006/main" count="2145" uniqueCount="879">
  <si>
    <t>Text Files to Open (select file and click on button)</t>
  </si>
  <si>
    <t>c:\users\Ralf Peek\Documents\w\spans\scp\</t>
  </si>
  <si>
    <t>Comparison of Jie's and Octavio's spreadsheets of results</t>
  </si>
  <si>
    <t>Jie</t>
  </si>
  <si>
    <t>Octavio</t>
  </si>
  <si>
    <t>Sintef\SummaryResults_EM_OL.xlsx</t>
  </si>
  <si>
    <t>Octavio\SummaryResultsAllTests.xlsx</t>
  </si>
  <si>
    <t>File Names (control-o to open in "CurrentFolder":</t>
  </si>
  <si>
    <t>Jie's Exxon Variables</t>
  </si>
  <si>
    <t>Test</t>
  </si>
  <si>
    <t>Gap</t>
  </si>
  <si>
    <t>starttime</t>
  </si>
  <si>
    <t>stoptime</t>
  </si>
  <si>
    <t>start</t>
  </si>
  <si>
    <t>stop</t>
  </si>
  <si>
    <t>fs</t>
  </si>
  <si>
    <t>Spacing</t>
  </si>
  <si>
    <t>nu (kinematic viscosity of water)</t>
  </si>
  <si>
    <t>L (length between pinned ends)</t>
  </si>
  <si>
    <t>Lu</t>
  </si>
  <si>
    <t>U</t>
  </si>
  <si>
    <t>std U</t>
  </si>
  <si>
    <t>E (Young modulus)</t>
  </si>
  <si>
    <t>EI (Bending stiffness)</t>
  </si>
  <si>
    <t>ro_w (density of fluid)</t>
  </si>
  <si>
    <t>D (Outer diameter)</t>
  </si>
  <si>
    <t>mass in air</t>
  </si>
  <si>
    <t>mass in water</t>
  </si>
  <si>
    <t>mass ratio</t>
  </si>
  <si>
    <t>EA (Axial rigidity)</t>
  </si>
  <si>
    <t>N0 (static axial force)</t>
  </si>
  <si>
    <t>N (dynamic axial force)</t>
  </si>
  <si>
    <t>std N</t>
  </si>
  <si>
    <t>fp N</t>
  </si>
  <si>
    <t>DispCF_max</t>
  </si>
  <si>
    <t>DispCF_maxloc</t>
  </si>
  <si>
    <t>DispCF_rms</t>
  </si>
  <si>
    <t>DispCF_rmsloc</t>
  </si>
  <si>
    <t>DispIL_max</t>
  </si>
  <si>
    <t>DispIL_maxloc</t>
  </si>
  <si>
    <t>DispIL_rms</t>
  </si>
  <si>
    <t>DispIL_rmsloc</t>
  </si>
  <si>
    <t>epsCF_max</t>
  </si>
  <si>
    <t>epsCF_maxloc</t>
  </si>
  <si>
    <t>epsCF_rms</t>
  </si>
  <si>
    <t>epsCF_rmsloc</t>
  </si>
  <si>
    <t>epsIL_max</t>
  </si>
  <si>
    <t>epsIL_maxloc</t>
  </si>
  <si>
    <t>epsIL_rms</t>
  </si>
  <si>
    <t>epsIL_rmsloc</t>
  </si>
  <si>
    <t>lambdaCF_atmaxdispCF</t>
  </si>
  <si>
    <t>lambdaIL_atmaxdispIL</t>
  </si>
  <si>
    <t>FzcCF_rmseps</t>
  </si>
  <si>
    <t>FzcIL_rmseps</t>
  </si>
  <si>
    <t>FzsCF_rmseps</t>
  </si>
  <si>
    <t>FzsIL_rmseps</t>
  </si>
  <si>
    <t>FpCF_rmseps</t>
  </si>
  <si>
    <t>FpIL_rmseps</t>
  </si>
  <si>
    <t>FfatCF_rmseps</t>
  </si>
  <si>
    <t>FfatIL_rmseps</t>
  </si>
  <si>
    <t>FDR_CF</t>
  </si>
  <si>
    <t>FDR_IL</t>
  </si>
  <si>
    <t>Nfail_CF</t>
  </si>
  <si>
    <t>Nfail_IL</t>
  </si>
  <si>
    <t>CF_curv_mode</t>
  </si>
  <si>
    <t>IL_curv_mode</t>
  </si>
  <si>
    <t>VB Name</t>
  </si>
  <si>
    <t>Decription</t>
  </si>
  <si>
    <t>%</t>
  </si>
  <si>
    <t>s</t>
  </si>
  <si>
    <t>-</t>
  </si>
  <si>
    <t>1/s</t>
  </si>
  <si>
    <t>m^2/s</t>
  </si>
  <si>
    <t>m</t>
  </si>
  <si>
    <t>m/s</t>
  </si>
  <si>
    <t>N/m^2</t>
  </si>
  <si>
    <t>Nm^2</t>
  </si>
  <si>
    <t>kg/m^3</t>
  </si>
  <si>
    <t>kg/m</t>
  </si>
  <si>
    <t>N</t>
  </si>
  <si>
    <t>TestID</t>
  </si>
  <si>
    <t>pctGap</t>
  </si>
  <si>
    <t>startdatum</t>
  </si>
  <si>
    <t>stopdatum</t>
  </si>
  <si>
    <t xml:space="preserve">Test  ID </t>
  </si>
  <si>
    <t>100 times Length of unstraked segment centred at midspan divided by span length</t>
  </si>
  <si>
    <t>Time when processed data segment starts</t>
  </si>
  <si>
    <t>Time when processed data segment end</t>
  </si>
  <si>
    <t>Data point number at end of processed segment.</t>
  </si>
  <si>
    <t>Data point number at start of processed segment</t>
  </si>
  <si>
    <t>Sampling frequency</t>
  </si>
  <si>
    <t>nu</t>
  </si>
  <si>
    <t>Lspan</t>
  </si>
  <si>
    <t>Length of span</t>
  </si>
  <si>
    <t>Unstraked length</t>
  </si>
  <si>
    <t>Current speed</t>
  </si>
  <si>
    <t>stdU</t>
  </si>
  <si>
    <t>Standard deviation of current velocity</t>
  </si>
  <si>
    <t>Epipe</t>
  </si>
  <si>
    <t>EI</t>
  </si>
  <si>
    <t>Flexural stiffness of pipe</t>
  </si>
  <si>
    <t>ro_w</t>
  </si>
  <si>
    <t>Density of water</t>
  </si>
  <si>
    <t>Dc</t>
  </si>
  <si>
    <t>outer diameter including coatings</t>
  </si>
  <si>
    <t>m_air</t>
  </si>
  <si>
    <t>m_sub</t>
  </si>
  <si>
    <t>Mass per unit length of pipe</t>
  </si>
  <si>
    <t>m_sub g = submerged weight of pipe</t>
  </si>
  <si>
    <t>mratio</t>
  </si>
  <si>
    <t>mass of pipe / mass of water it displaces</t>
  </si>
  <si>
    <t>EA</t>
  </si>
  <si>
    <t>Axial rigidity of Pipe</t>
  </si>
  <si>
    <t>Axial force at zero current velocity</t>
  </si>
  <si>
    <t>Uc</t>
  </si>
  <si>
    <t>Axial force during test averaged over time</t>
  </si>
  <si>
    <t>Standard deviation of axial force during test</t>
  </si>
  <si>
    <t>Frequency at which the spectral density of the axial force is a maximum ?</t>
  </si>
  <si>
    <t>fpN</t>
  </si>
  <si>
    <t>Maximum cross flow displacement (max over x and t)</t>
  </si>
  <si>
    <t>sqrt(2) times stdev of cross flow displacement over t at location x where this is highest</t>
  </si>
  <si>
    <t>Maximum in line displacement (max over x and t)</t>
  </si>
  <si>
    <t>sqrt(2) times stdev of in line displacement over t at location x where this is highest</t>
  </si>
  <si>
    <t>sqrt(2) times stdev of cross flow bending strain over t at location x where this is highest</t>
  </si>
  <si>
    <t>Maximum in line bending strain (max over x and t)</t>
  </si>
  <si>
    <t>sqrt(2) times stdev of in line bending strain over t at location x where this is highest</t>
  </si>
  <si>
    <t>dominant cross flow half wavelength from spectrum of the displacements at the time when the maximum  cross flow displacement occurs</t>
  </si>
  <si>
    <t>dominant in line half wavelength from spectrum of the displacements at the time when the maximum  in line displacement occurs</t>
  </si>
  <si>
    <t>cross flow strain mean value upcrossing rate based on counting at the location where the standard deviation of this strain is largest</t>
  </si>
  <si>
    <t>in line strain mean value upcrossing rate based on counting at the location where the standard deviation of this strain is largest</t>
  </si>
  <si>
    <t>cross flow strain mean value upcrossing rate based on spectrum at the location where the standard deviation of this strain is largest</t>
  </si>
  <si>
    <t>in-line strain mean value upcrossing rate based on spectrum at the location where the standard deviation of this strain is largest</t>
  </si>
  <si>
    <t>Spectral peak frequency of cross flow strain at the location x where the standard deviation of this strain is largest</t>
  </si>
  <si>
    <t>Spectral peak frequency of in line strain at the location x where the standard deviation of this strain is largest</t>
  </si>
  <si>
    <t>Effective frequency for fatigue damage based on cross flow strain at the location where its standard deviation is highest ?</t>
  </si>
  <si>
    <t>Effective frequency for fatigue damage based on in line strain at the location where its standard deviation is highest ?</t>
  </si>
  <si>
    <t>Cross flow fatigue damage rate at the location of the largest standard deviation of the cross flow strain ?</t>
  </si>
  <si>
    <t>number of cycles to failure for cross flow at a strain range of 2 sqrt(2) times the standard deviation at the location where this is smallest ?</t>
  </si>
  <si>
    <t>nlCF</t>
  </si>
  <si>
    <t>nlIL</t>
  </si>
  <si>
    <t>number of lobes for the dominant cross flow mode ?</t>
  </si>
  <si>
    <t>number of lobes for the dominant in line mode ?</t>
  </si>
  <si>
    <t>in line fatigue damage rate at the location of the largest standard deviation of the in line strain ?</t>
  </si>
  <si>
    <t>number of cycles to failure for in line at a strain range of 2 sqrt(2) times the standard deviation at the location where this is smallest ?</t>
  </si>
  <si>
    <t>Kinematic viscosity of water</t>
  </si>
  <si>
    <t>ipf</t>
  </si>
  <si>
    <t>value</t>
  </si>
  <si>
    <t>TestSeries</t>
  </si>
  <si>
    <t>name of test series (OL = Ormenl Lange, EM = ExxonMobil Rotating Rig,  Shell = Shell sponsored tests)</t>
  </si>
  <si>
    <t>lambdaUsed</t>
  </si>
  <si>
    <t>half wavelength used in scaling for axial force effect</t>
  </si>
  <si>
    <t>Zero check on calculation of mass ratio</t>
  </si>
  <si>
    <t>zchk_mratio</t>
  </si>
  <si>
    <t>mdw</t>
  </si>
  <si>
    <t>Mass per unit length of displaced water</t>
  </si>
  <si>
    <t>meff</t>
  </si>
  <si>
    <t>Effective mass per unit length</t>
  </si>
  <si>
    <t>ceff</t>
  </si>
  <si>
    <t>Effective mass coefficient</t>
  </si>
  <si>
    <t>nfat</t>
  </si>
  <si>
    <t>afat</t>
  </si>
  <si>
    <r>
      <t>Fatigue exponent “n” in N=a/S</t>
    </r>
    <r>
      <rPr>
        <vertAlign val="superscript"/>
        <sz val="10"/>
        <rFont val="Times New Roman"/>
        <family val="1"/>
      </rPr>
      <t>n</t>
    </r>
    <r>
      <rPr>
        <sz val="10"/>
        <rFont val="Times New Roman"/>
        <family val="1"/>
      </rPr>
      <t>, where N denotes number of cycles to failure S the stress range</t>
    </r>
  </si>
  <si>
    <t>Fatigue resistance strain (strain range at which failure occurs in one cycle)</t>
  </si>
  <si>
    <t>epsFR</t>
  </si>
  <si>
    <t>Shell</t>
  </si>
  <si>
    <t>zchk_FDR_CF</t>
  </si>
  <si>
    <t>zero check on FDR_CF</t>
  </si>
  <si>
    <t>Maximum cross flow bending strain (max over x and t)
All model bending strains assumed to be at the outside diameter.</t>
  </si>
  <si>
    <t>zchk_FDR_IL</t>
  </si>
  <si>
    <t>zero check on FDR_IL</t>
  </si>
  <si>
    <t>EpipeUsed</t>
  </si>
  <si>
    <t>Value of Young's modulus used</t>
  </si>
  <si>
    <t>Navg</t>
  </si>
  <si>
    <t>Nstd</t>
  </si>
  <si>
    <t>Units</t>
  </si>
  <si>
    <t>Ref</t>
  </si>
  <si>
    <t>Edefault</t>
  </si>
  <si>
    <r>
      <t>Arbitrary scaling parameter, may be taken as Strouhal number, S</t>
    </r>
    <r>
      <rPr>
        <vertAlign val="subscript"/>
        <sz val="10"/>
        <rFont val="Times New Roman"/>
        <family val="1"/>
      </rPr>
      <t>t</t>
    </r>
  </si>
  <si>
    <t>St</t>
  </si>
  <si>
    <r>
      <t>Radius from pipe centroid at which bending strain is determined,  R</t>
    </r>
    <r>
      <rPr>
        <vertAlign val="subscript"/>
        <sz val="10"/>
        <rFont val="Times New Roman"/>
        <family val="1"/>
      </rPr>
      <t>ϵ</t>
    </r>
    <r>
      <rPr>
        <sz val="10"/>
        <rFont val="Times New Roman"/>
        <family val="1"/>
      </rPr>
      <t xml:space="preserve"> </t>
    </r>
  </si>
  <si>
    <t>Reps</t>
  </si>
  <si>
    <t>Lst</t>
  </si>
  <si>
    <r>
      <t>Strouhal Period, T</t>
    </r>
    <r>
      <rPr>
        <vertAlign val="subscript"/>
        <sz val="10"/>
        <rFont val="Times New Roman"/>
        <family val="1"/>
      </rPr>
      <t>st</t>
    </r>
    <r>
      <rPr>
        <sz val="10"/>
        <rFont val="Times New Roman"/>
        <family val="1"/>
      </rPr>
      <t xml:space="preserve"> = D/(S</t>
    </r>
    <r>
      <rPr>
        <vertAlign val="subscript"/>
        <sz val="10"/>
        <rFont val="Times New Roman"/>
        <family val="1"/>
      </rPr>
      <t>t</t>
    </r>
    <r>
      <rPr>
        <sz val="10"/>
        <rFont val="Times New Roman"/>
        <family val="1"/>
      </rPr>
      <t>U)</t>
    </r>
  </si>
  <si>
    <t>Tst</t>
  </si>
  <si>
    <r>
      <t>Unit length, Strouhal length,   x</t>
    </r>
    <r>
      <rPr>
        <vertAlign val="subscript"/>
        <sz val="10"/>
        <rFont val="Times New Roman"/>
        <family val="1"/>
      </rPr>
      <t>1</t>
    </r>
    <r>
      <rPr>
        <sz val="10"/>
        <rFont val="Times New Roman"/>
        <family val="1"/>
      </rPr>
      <t xml:space="preserve"> = L</t>
    </r>
    <r>
      <rPr>
        <vertAlign val="subscript"/>
        <sz val="10"/>
        <rFont val="Times New Roman"/>
        <family val="1"/>
      </rPr>
      <t>st</t>
    </r>
    <r>
      <rPr>
        <sz val="10"/>
        <rFont val="Times New Roman"/>
        <family val="1"/>
      </rPr>
      <t xml:space="preserve"> = π (2EI)</t>
    </r>
    <r>
      <rPr>
        <vertAlign val="superscript"/>
        <sz val="10"/>
        <rFont val="Times New Roman"/>
        <family val="1"/>
      </rPr>
      <t>1/2</t>
    </r>
    <r>
      <rPr>
        <sz val="10"/>
        <rFont val="Times New Roman"/>
        <family val="1"/>
      </rPr>
      <t>/{[N</t>
    </r>
    <r>
      <rPr>
        <vertAlign val="superscript"/>
        <sz val="10"/>
        <rFont val="Times New Roman"/>
        <family val="1"/>
      </rPr>
      <t>2</t>
    </r>
    <r>
      <rPr>
        <sz val="10"/>
        <rFont val="Times New Roman"/>
        <family val="1"/>
      </rPr>
      <t xml:space="preserve"> + 16π</t>
    </r>
    <r>
      <rPr>
        <vertAlign val="superscript"/>
        <sz val="10"/>
        <rFont val="Times New Roman"/>
        <family val="1"/>
      </rPr>
      <t>2</t>
    </r>
    <r>
      <rPr>
        <sz val="10"/>
        <rFont val="Times New Roman"/>
        <family val="1"/>
      </rPr>
      <t xml:space="preserve"> EI m</t>
    </r>
    <r>
      <rPr>
        <vertAlign val="subscript"/>
        <sz val="10"/>
        <rFont val="Times New Roman"/>
        <family val="1"/>
      </rPr>
      <t>eff</t>
    </r>
    <r>
      <rPr>
        <sz val="10"/>
        <rFont val="Times New Roman"/>
        <family val="1"/>
      </rPr>
      <t>/T</t>
    </r>
    <r>
      <rPr>
        <vertAlign val="subscript"/>
        <sz val="10"/>
        <rFont val="Times New Roman"/>
        <family val="1"/>
      </rPr>
      <t>st</t>
    </r>
    <r>
      <rPr>
        <vertAlign val="superscript"/>
        <sz val="10"/>
        <rFont val="Times New Roman"/>
        <family val="1"/>
      </rPr>
      <t>2</t>
    </r>
    <r>
      <rPr>
        <sz val="10"/>
        <rFont val="Times New Roman"/>
        <family val="1"/>
      </rPr>
      <t>]</t>
    </r>
    <r>
      <rPr>
        <vertAlign val="superscript"/>
        <sz val="10"/>
        <rFont val="Times New Roman"/>
        <family val="1"/>
      </rPr>
      <t>1/2</t>
    </r>
    <r>
      <rPr>
        <sz val="10"/>
        <rFont val="Times New Roman"/>
        <family val="1"/>
      </rPr>
      <t xml:space="preserve"> - N}</t>
    </r>
    <r>
      <rPr>
        <vertAlign val="superscript"/>
        <sz val="10"/>
        <rFont val="Times New Roman"/>
        <family val="1"/>
      </rPr>
      <t>1/2</t>
    </r>
  </si>
  <si>
    <r>
      <t>Unit value for bending strain, ϵ</t>
    </r>
    <r>
      <rPr>
        <vertAlign val="subscript"/>
        <sz val="10"/>
        <rFont val="Times New Roman"/>
        <family val="1"/>
      </rPr>
      <t>1</t>
    </r>
    <r>
      <rPr>
        <sz val="10"/>
        <rFont val="Times New Roman"/>
        <family val="1"/>
      </rPr>
      <t xml:space="preserve"> = R</t>
    </r>
    <r>
      <rPr>
        <vertAlign val="subscript"/>
        <sz val="10"/>
        <rFont val="Times New Roman"/>
        <family val="1"/>
      </rPr>
      <t>ϵ</t>
    </r>
    <r>
      <rPr>
        <sz val="10"/>
        <rFont val="Times New Roman"/>
        <family val="1"/>
      </rPr>
      <t>D/L</t>
    </r>
    <r>
      <rPr>
        <vertAlign val="subscript"/>
        <sz val="10"/>
        <rFont val="Times New Roman"/>
        <family val="1"/>
      </rPr>
      <t>st</t>
    </r>
    <r>
      <rPr>
        <vertAlign val="superscript"/>
        <sz val="10"/>
        <rFont val="Times New Roman"/>
        <family val="1"/>
      </rPr>
      <t>2</t>
    </r>
  </si>
  <si>
    <t>eps_1</t>
  </si>
  <si>
    <r>
      <t>Normalized bending strain amplitude,  ϵ̃ = w̃’’ = ϵ L</t>
    </r>
    <r>
      <rPr>
        <vertAlign val="subscript"/>
        <sz val="10"/>
        <rFont val="Times New Roman"/>
        <family val="1"/>
      </rPr>
      <t>st</t>
    </r>
    <r>
      <rPr>
        <vertAlign val="superscript"/>
        <sz val="10"/>
        <rFont val="Times New Roman"/>
        <family val="1"/>
      </rPr>
      <t>2</t>
    </r>
    <r>
      <rPr>
        <sz val="10"/>
        <rFont val="Times New Roman"/>
        <family val="1"/>
      </rPr>
      <t>/(R</t>
    </r>
    <r>
      <rPr>
        <vertAlign val="subscript"/>
        <sz val="10"/>
        <rFont val="Times New Roman"/>
        <family val="1"/>
      </rPr>
      <t>ϵ</t>
    </r>
    <r>
      <rPr>
        <sz val="10"/>
        <rFont val="Times New Roman"/>
        <family val="1"/>
      </rPr>
      <t xml:space="preserve"> D) = ϵ/ϵ</t>
    </r>
    <r>
      <rPr>
        <vertAlign val="subscript"/>
        <sz val="10"/>
        <rFont val="Times New Roman"/>
        <family val="1"/>
      </rPr>
      <t>1</t>
    </r>
    <r>
      <rPr>
        <sz val="10"/>
        <rFont val="Times New Roman"/>
        <family val="1"/>
      </rPr>
      <t>, in-line</t>
    </r>
  </si>
  <si>
    <r>
      <t>Normalized bending strain amplitude,  ϵ̃ = w̃’’ = ϵ L</t>
    </r>
    <r>
      <rPr>
        <vertAlign val="subscript"/>
        <sz val="10"/>
        <rFont val="Times New Roman"/>
        <family val="1"/>
      </rPr>
      <t>st</t>
    </r>
    <r>
      <rPr>
        <vertAlign val="superscript"/>
        <sz val="10"/>
        <rFont val="Times New Roman"/>
        <family val="1"/>
      </rPr>
      <t>2</t>
    </r>
    <r>
      <rPr>
        <sz val="10"/>
        <rFont val="Times New Roman"/>
        <family val="1"/>
      </rPr>
      <t>/(R</t>
    </r>
    <r>
      <rPr>
        <vertAlign val="subscript"/>
        <sz val="10"/>
        <rFont val="Times New Roman"/>
        <family val="1"/>
      </rPr>
      <t>ϵ</t>
    </r>
    <r>
      <rPr>
        <sz val="10"/>
        <rFont val="Times New Roman"/>
        <family val="1"/>
      </rPr>
      <t xml:space="preserve"> D) = ϵ/ϵ</t>
    </r>
    <r>
      <rPr>
        <vertAlign val="subscript"/>
        <sz val="10"/>
        <rFont val="Times New Roman"/>
        <family val="1"/>
      </rPr>
      <t>1</t>
    </r>
    <r>
      <rPr>
        <sz val="10"/>
        <rFont val="Times New Roman"/>
        <family val="1"/>
      </rPr>
      <t>, cross flow</t>
    </r>
  </si>
  <si>
    <t>epsCF_rms_tilde</t>
  </si>
  <si>
    <t>epsIL_rms_tilde</t>
  </si>
  <si>
    <t>FDR_1</t>
  </si>
  <si>
    <r>
      <t>Unit value for fatigue damage rate, η̇</t>
    </r>
    <r>
      <rPr>
        <vertAlign val="subscript"/>
        <sz val="10"/>
        <rFont val="Times New Roman"/>
        <family val="1"/>
      </rPr>
      <t>1</t>
    </r>
    <r>
      <rPr>
        <sz val="10"/>
        <rFont val="Times New Roman"/>
        <family val="1"/>
      </rPr>
      <t xml:space="preserve"> = [(R</t>
    </r>
    <r>
      <rPr>
        <vertAlign val="subscript"/>
        <sz val="10"/>
        <rFont val="Times New Roman"/>
        <family val="1"/>
      </rPr>
      <t>ϵ</t>
    </r>
    <r>
      <rPr>
        <sz val="10"/>
        <rFont val="Times New Roman"/>
        <family val="1"/>
      </rPr>
      <t>D/L</t>
    </r>
    <r>
      <rPr>
        <vertAlign val="subscript"/>
        <sz val="10"/>
        <rFont val="Times New Roman"/>
        <family val="1"/>
      </rPr>
      <t>st</t>
    </r>
    <r>
      <rPr>
        <vertAlign val="superscript"/>
        <sz val="10"/>
        <rFont val="Times New Roman"/>
        <family val="1"/>
      </rPr>
      <t>2</t>
    </r>
    <r>
      <rPr>
        <sz val="10"/>
        <rFont val="Times New Roman"/>
        <family val="1"/>
      </rPr>
      <t>) /ϵ</t>
    </r>
    <r>
      <rPr>
        <vertAlign val="subscript"/>
        <sz val="10"/>
        <rFont val="Times New Roman"/>
        <family val="1"/>
      </rPr>
      <t>fr</t>
    </r>
    <r>
      <rPr>
        <sz val="10"/>
        <rFont val="Times New Roman"/>
        <family val="1"/>
      </rPr>
      <t>]</t>
    </r>
    <r>
      <rPr>
        <vertAlign val="superscript"/>
        <sz val="10"/>
        <rFont val="Times New Roman"/>
        <family val="1"/>
      </rPr>
      <t>n</t>
    </r>
    <r>
      <rPr>
        <sz val="10"/>
        <rFont val="Times New Roman"/>
        <family val="1"/>
      </rPr>
      <t xml:space="preserve"> /T</t>
    </r>
    <r>
      <rPr>
        <vertAlign val="subscript"/>
        <sz val="10"/>
        <rFont val="Times New Roman"/>
        <family val="1"/>
      </rPr>
      <t>st</t>
    </r>
    <r>
      <rPr>
        <sz val="10"/>
        <rFont val="Times New Roman"/>
        <family val="1"/>
      </rPr>
      <t xml:space="preserve"> = [ϵ</t>
    </r>
    <r>
      <rPr>
        <vertAlign val="subscript"/>
        <sz val="10"/>
        <rFont val="Times New Roman"/>
        <family val="1"/>
      </rPr>
      <t>1</t>
    </r>
    <r>
      <rPr>
        <sz val="10"/>
        <rFont val="Times New Roman"/>
        <family val="1"/>
      </rPr>
      <t>/ϵ</t>
    </r>
    <r>
      <rPr>
        <vertAlign val="subscript"/>
        <sz val="10"/>
        <rFont val="Times New Roman"/>
        <family val="1"/>
      </rPr>
      <t>fr</t>
    </r>
    <r>
      <rPr>
        <sz val="10"/>
        <rFont val="Times New Roman"/>
        <family val="1"/>
      </rPr>
      <t>]</t>
    </r>
    <r>
      <rPr>
        <vertAlign val="superscript"/>
        <sz val="10"/>
        <rFont val="Times New Roman"/>
        <family val="1"/>
      </rPr>
      <t>n</t>
    </r>
    <r>
      <rPr>
        <sz val="10"/>
        <rFont val="Times New Roman"/>
        <family val="1"/>
      </rPr>
      <t>/T</t>
    </r>
    <r>
      <rPr>
        <vertAlign val="subscript"/>
        <sz val="10"/>
        <rFont val="Times New Roman"/>
        <family val="1"/>
      </rPr>
      <t>st</t>
    </r>
  </si>
  <si>
    <t>FDR_CF_tilde</t>
  </si>
  <si>
    <r>
      <t>Normalized fatigue damage rate, η̃̇ = η̇ / η̇</t>
    </r>
    <r>
      <rPr>
        <vertAlign val="subscript"/>
        <sz val="10"/>
        <rFont val="Times New Roman"/>
        <family val="1"/>
      </rPr>
      <t>1</t>
    </r>
    <r>
      <rPr>
        <sz val="10"/>
        <rFont val="Times New Roman"/>
        <family val="1"/>
      </rPr>
      <t>, cross flow</t>
    </r>
  </si>
  <si>
    <r>
      <t>Normalized fatigue damage rate, η̃̇ = η̇ / η̇</t>
    </r>
    <r>
      <rPr>
        <vertAlign val="subscript"/>
        <sz val="10"/>
        <rFont val="Times New Roman"/>
        <family val="1"/>
      </rPr>
      <t>1</t>
    </r>
    <r>
      <rPr>
        <sz val="10"/>
        <rFont val="Times New Roman"/>
        <family val="1"/>
      </rPr>
      <t>, in line</t>
    </r>
  </si>
  <si>
    <t>FDR_IL_tilde</t>
  </si>
  <si>
    <r>
      <t>Normalized Span Length, L̃ = L/L</t>
    </r>
    <r>
      <rPr>
        <vertAlign val="subscript"/>
        <sz val="10"/>
        <rFont val="Times New Roman"/>
        <family val="1"/>
      </rPr>
      <t>st</t>
    </r>
  </si>
  <si>
    <t>Lspan_tilde</t>
  </si>
  <si>
    <r>
      <t>Unit value for effective Axial force, N</t>
    </r>
    <r>
      <rPr>
        <vertAlign val="subscript"/>
        <sz val="10"/>
        <rFont val="Times New Roman"/>
        <family val="1"/>
      </rPr>
      <t>1</t>
    </r>
    <r>
      <rPr>
        <sz val="10"/>
        <rFont val="Times New Roman"/>
        <family val="1"/>
      </rPr>
      <t xml:space="preserve"> = π</t>
    </r>
    <r>
      <rPr>
        <vertAlign val="superscript"/>
        <sz val="10"/>
        <rFont val="Times New Roman"/>
        <family val="1"/>
      </rPr>
      <t>2</t>
    </r>
    <r>
      <rPr>
        <sz val="10"/>
        <rFont val="Times New Roman"/>
        <family val="1"/>
      </rPr>
      <t>EI/L</t>
    </r>
    <r>
      <rPr>
        <vertAlign val="subscript"/>
        <sz val="10"/>
        <rFont val="Times New Roman"/>
        <family val="1"/>
      </rPr>
      <t>st</t>
    </r>
    <r>
      <rPr>
        <vertAlign val="superscript"/>
        <sz val="10"/>
        <rFont val="Times New Roman"/>
        <family val="1"/>
      </rPr>
      <t>2</t>
    </r>
  </si>
  <si>
    <r>
      <t>Normalized effective axial force,  Ñ = N/N</t>
    </r>
    <r>
      <rPr>
        <vertAlign val="subscript"/>
        <sz val="10"/>
        <rFont val="Times New Roman"/>
        <family val="1"/>
      </rPr>
      <t>1</t>
    </r>
  </si>
  <si>
    <t>N_1</t>
  </si>
  <si>
    <t>Navg_tilde</t>
  </si>
  <si>
    <t>OL</t>
  </si>
  <si>
    <t>EM</t>
  </si>
  <si>
    <t>ne</t>
  </si>
  <si>
    <t>min</t>
  </si>
  <si>
    <t>max</t>
  </si>
  <si>
    <t>18/2</t>
  </si>
  <si>
    <t>20/2</t>
  </si>
  <si>
    <t>epsCF_e_tilde</t>
  </si>
  <si>
    <t>epsIL_e_tilde</t>
  </si>
  <si>
    <r>
      <t>Normalized Fatigue-Equivalent Strain Amplitude, ϵ̃</t>
    </r>
    <r>
      <rPr>
        <vertAlign val="subscript"/>
        <sz val="10"/>
        <rFont val="Times New Roman"/>
        <family val="1"/>
      </rPr>
      <t>e</t>
    </r>
    <r>
      <rPr>
        <sz val="10"/>
        <rFont val="Times New Roman"/>
        <family val="1"/>
      </rPr>
      <t xml:space="preserve"> , cross flow</t>
    </r>
  </si>
  <si>
    <r>
      <t>Normalized Fatigue-Equivalent Strain Amplitude, ϵ̃</t>
    </r>
    <r>
      <rPr>
        <vertAlign val="subscript"/>
        <sz val="10"/>
        <rFont val="Times New Roman"/>
        <family val="1"/>
      </rPr>
      <t>e</t>
    </r>
    <r>
      <rPr>
        <sz val="10"/>
        <rFont val="Times New Roman"/>
        <family val="1"/>
      </rPr>
      <t xml:space="preserve"> , in line</t>
    </r>
  </si>
  <si>
    <t>Inputs from model from processing of test data by Jie and Octavio (single selected case)</t>
  </si>
  <si>
    <t>Calculation of Normalized Values for Model</t>
  </si>
  <si>
    <t>Inputs for Prototype</t>
  </si>
  <si>
    <t>Lspan_p</t>
  </si>
  <si>
    <t>Ds</t>
  </si>
  <si>
    <t>ts</t>
  </si>
  <si>
    <t>tcc</t>
  </si>
  <si>
    <t>twc</t>
  </si>
  <si>
    <t>rhoi</t>
  </si>
  <si>
    <t>rhos</t>
  </si>
  <si>
    <t>rhocc</t>
  </si>
  <si>
    <t>rhowc</t>
  </si>
  <si>
    <t>E_p</t>
  </si>
  <si>
    <t>Default value of Young's modulus for model test used instead of Epipe, when Epipe=0.</t>
  </si>
  <si>
    <t>g</t>
  </si>
  <si>
    <t>acceleration due to gravity</t>
  </si>
  <si>
    <t>Stiffness of axial spring at one end of the model</t>
  </si>
  <si>
    <t>kxend</t>
  </si>
  <si>
    <t>N/m</t>
  </si>
  <si>
    <t>krough</t>
  </si>
  <si>
    <t>Roughness</t>
  </si>
  <si>
    <t>zchk_comb</t>
  </si>
  <si>
    <t>Combined consistency check for input data (should be zero)</t>
  </si>
  <si>
    <t>Maximum allowed displacement/diameter</t>
  </si>
  <si>
    <t>Ambivalent VIV behaviour</t>
  </si>
  <si>
    <t>Maximum allowed displacement exceeded</t>
  </si>
  <si>
    <t>microns</t>
  </si>
  <si>
    <t>Axial stiffness</t>
  </si>
  <si>
    <t>Yes</t>
  </si>
  <si>
    <t>AoDmax</t>
  </si>
  <si>
    <t>AmbBeh</t>
  </si>
  <si>
    <t>ExcDisp</t>
  </si>
  <si>
    <t>no</t>
  </si>
  <si>
    <t>NL</t>
  </si>
  <si>
    <t>Reynolds Number</t>
  </si>
  <si>
    <t>Reyn</t>
  </si>
  <si>
    <t>Drag force for drag coefficient Cd=1   (N/m)</t>
  </si>
  <si>
    <t>qh_1</t>
  </si>
  <si>
    <t>qw</t>
  </si>
  <si>
    <t>cd</t>
  </si>
  <si>
    <t>Drag coefficient based on change in axial force,  cdss(qw, qq_1, nns, nnd, cl, ei, ea, kk)</t>
  </si>
  <si>
    <t>Axial force when fully straight (N)</t>
  </si>
  <si>
    <t>Cd</t>
  </si>
  <si>
    <t>dratio</t>
  </si>
  <si>
    <t>Structural / Hydraulic Diameter ratio (should be less than 1, but very small becomes suspicious)</t>
  </si>
  <si>
    <t>theta</t>
  </si>
  <si>
    <t>Inclination angle from vertical at which it hangs under the current (degrees)</t>
  </si>
  <si>
    <t>qc</t>
  </si>
  <si>
    <t>combined gravity and hydrodynamic drag force per unit length (N/m)</t>
  </si>
  <si>
    <t>natural frequency of mode 1 without arch action (Hz)</t>
  </si>
  <si>
    <t>f1ss</t>
  </si>
  <si>
    <t>f1ss_0</t>
  </si>
  <si>
    <t>natural frequency of mode 1 including arch action (Hz)</t>
  </si>
  <si>
    <t>relative increase natural frequency of mode 1 due to arch action</t>
  </si>
  <si>
    <t>jst</t>
  </si>
  <si>
    <t>fjss_0</t>
  </si>
  <si>
    <t>fjss</t>
  </si>
  <si>
    <t>natural frequency of mode jst without including arch action (Hz)</t>
  </si>
  <si>
    <t>natural frequency of mode jst with arch action (Hz)</t>
  </si>
  <si>
    <t>relative increase natural frequency of mode jst due to arch action</t>
  </si>
  <si>
    <t>rotation at ends in the plane in which the pipe hangs under static+constant drag load (radians)</t>
  </si>
  <si>
    <t>rotStatic</t>
  </si>
  <si>
    <t>rotCF</t>
  </si>
  <si>
    <t>rotRatio</t>
  </si>
  <si>
    <t>avivCF</t>
  </si>
  <si>
    <t>dNarch</t>
  </si>
  <si>
    <t>dNnl</t>
  </si>
  <si>
    <t>dNarch/Navg</t>
  </si>
  <si>
    <t>dNnl/Navg</t>
  </si>
  <si>
    <t>dNarch/Nstd</t>
  </si>
  <si>
    <t>dNnl/Nstd</t>
  </si>
  <si>
    <t>schkd</t>
  </si>
  <si>
    <t>y</t>
  </si>
  <si>
    <t>Nstr</t>
  </si>
  <si>
    <t>reference CF dynamic rotation (radians) based on Strouhal wavelength and reference strain</t>
  </si>
  <si>
    <t>reference dynamic / static rotation ratio, based on dynamic rotation above</t>
  </si>
  <si>
    <t>reference CF viv amplitude (m) based on Strouhal wavelength and reference strain</t>
  </si>
  <si>
    <t>reference dynamic axial forces due to arch action (N) based amplitude avivCF and mode closest to Strouhal wavelength</t>
  </si>
  <si>
    <t>reference dynamic axial force due to nonlinear effects (N) based amplitude avivCF and mode closest to Strouhal wavelength</t>
  </si>
  <si>
    <t>Lea</t>
  </si>
  <si>
    <t>Effective length for axial stiffness</t>
  </si>
  <si>
    <t>Nonlinearity Check (approx 6) should be small compared to 1,  ψnonlinear = { D2 L EA}/{4 Lea EI (1 + Ñ)  }</t>
  </si>
  <si>
    <t>pipe 1 axial freq</t>
  </si>
  <si>
    <t>Hz</t>
  </si>
  <si>
    <t>pipe 2 axial freq</t>
  </si>
  <si>
    <t>psi_local</t>
  </si>
  <si>
    <t>D/Lst ratio, should be small for assumption 2 and others.</t>
  </si>
  <si>
    <t>Yielding at reference vibrations</t>
  </si>
  <si>
    <t>ey</t>
  </si>
  <si>
    <t>eref</t>
  </si>
  <si>
    <t>D/Lst</t>
  </si>
  <si>
    <r>
      <t>(π</t>
    </r>
    <r>
      <rPr>
        <vertAlign val="superscript"/>
        <sz val="10"/>
        <rFont val="Times New Roman"/>
        <family val="1"/>
      </rPr>
      <t>2</t>
    </r>
    <r>
      <rPr>
        <sz val="10"/>
        <rFont val="Times New Roman"/>
        <family val="1"/>
      </rPr>
      <t>/2)(D/L</t>
    </r>
    <r>
      <rPr>
        <vertAlign val="subscript"/>
        <sz val="10"/>
        <rFont val="Times New Roman"/>
        <family val="1"/>
      </rPr>
      <t>st</t>
    </r>
    <r>
      <rPr>
        <sz val="10"/>
        <rFont val="Times New Roman"/>
        <family val="1"/>
      </rPr>
      <t>)</t>
    </r>
    <r>
      <rPr>
        <vertAlign val="superscript"/>
        <sz val="10"/>
        <rFont val="Times New Roman"/>
        <family val="1"/>
      </rPr>
      <t>2</t>
    </r>
  </si>
  <si>
    <t>eref/ey</t>
  </si>
  <si>
    <t>odd mode number with natural frequency without arch action closest to Strouhal frequency</t>
  </si>
  <si>
    <t>Additional Inputs assumed to be the same for all Models and Prototype Unless otherwise noted.</t>
  </si>
  <si>
    <t>psi_arch1</t>
  </si>
  <si>
    <t>psi_arch_st</t>
  </si>
  <si>
    <t>psi_nl</t>
  </si>
  <si>
    <t>psi_ai1</t>
  </si>
  <si>
    <t>psi_ai2</t>
  </si>
  <si>
    <r>
      <t>Relative axial force error due to axial inertia for inextensible pipe axially fixed at one end, ψ</t>
    </r>
    <r>
      <rPr>
        <vertAlign val="subscript"/>
        <sz val="10"/>
        <rFont val="Times New Roman"/>
        <family val="1"/>
      </rPr>
      <t>ai2</t>
    </r>
    <r>
      <rPr>
        <sz val="10"/>
        <rFont val="Times New Roman"/>
        <family val="1"/>
      </rPr>
      <t xml:space="preserve"> = (π</t>
    </r>
    <r>
      <rPr>
        <vertAlign val="superscript"/>
        <sz val="10"/>
        <rFont val="Times New Roman"/>
        <family val="1"/>
      </rPr>
      <t>4</t>
    </r>
    <r>
      <rPr>
        <sz val="10"/>
        <rFont val="Times New Roman"/>
        <family val="1"/>
      </rPr>
      <t>/4) L̃</t>
    </r>
    <r>
      <rPr>
        <vertAlign val="superscript"/>
        <sz val="10"/>
        <rFont val="Times New Roman"/>
        <family val="1"/>
      </rPr>
      <t>2</t>
    </r>
    <r>
      <rPr>
        <sz val="10"/>
        <rFont val="Times New Roman"/>
        <family val="1"/>
      </rPr>
      <t xml:space="preserve"> (D/L</t>
    </r>
    <r>
      <rPr>
        <vertAlign val="subscript"/>
        <sz val="10"/>
        <rFont val="Times New Roman"/>
        <family val="1"/>
      </rPr>
      <t>st</t>
    </r>
    <r>
      <rPr>
        <sz val="10"/>
        <rFont val="Times New Roman"/>
        <family val="1"/>
      </rPr>
      <t>)</t>
    </r>
    <r>
      <rPr>
        <vertAlign val="superscript"/>
        <sz val="10"/>
        <rFont val="Times New Roman"/>
        <family val="1"/>
      </rPr>
      <t>2</t>
    </r>
    <r>
      <rPr>
        <sz val="10"/>
        <rFont val="Times New Roman"/>
        <family val="1"/>
      </rPr>
      <t>.</t>
    </r>
  </si>
  <si>
    <t>m_clump</t>
  </si>
  <si>
    <t>Clump mass at ends of model (kg)</t>
  </si>
  <si>
    <t>psi_clump</t>
  </si>
  <si>
    <r>
      <t>Strouhal/Axial Clump frequency ratio  ψ</t>
    </r>
    <r>
      <rPr>
        <vertAlign val="subscript"/>
        <sz val="10"/>
        <rFont val="Times New Roman"/>
        <family val="1"/>
      </rPr>
      <t>clump</t>
    </r>
    <r>
      <rPr>
        <sz val="10"/>
        <rFont val="Times New Roman"/>
        <family val="1"/>
      </rPr>
      <t xml:space="preserve"> = 2π f</t>
    </r>
    <r>
      <rPr>
        <vertAlign val="subscript"/>
        <sz val="10"/>
        <rFont val="Times New Roman"/>
        <family val="1"/>
      </rPr>
      <t>st</t>
    </r>
    <r>
      <rPr>
        <sz val="10"/>
        <rFont val="Times New Roman"/>
        <family val="1"/>
      </rPr>
      <t>(Lm</t>
    </r>
    <r>
      <rPr>
        <vertAlign val="subscript"/>
        <sz val="10"/>
        <rFont val="Times New Roman"/>
        <family val="1"/>
      </rPr>
      <t>clump</t>
    </r>
    <r>
      <rPr>
        <sz val="10"/>
        <rFont val="Times New Roman"/>
        <family val="1"/>
      </rPr>
      <t>/(2EA))</t>
    </r>
    <r>
      <rPr>
        <vertAlign val="superscript"/>
        <sz val="10"/>
        <rFont val="Times New Roman"/>
        <family val="1"/>
      </rPr>
      <t>1/2</t>
    </r>
  </si>
  <si>
    <t>N_g</t>
  </si>
  <si>
    <t>N_g/Navg-1</t>
  </si>
  <si>
    <t>psi_n</t>
  </si>
  <si>
    <t>psi_N</t>
  </si>
  <si>
    <t>epsRatioIL</t>
  </si>
  <si>
    <t>Ratio Fatigue-Equivalent / Dynamic Strain Amplitude, In Line</t>
  </si>
  <si>
    <t>epsRatioCF</t>
  </si>
  <si>
    <t>Ratio Fatigue-Equivalent / Dynamic Strain Amplitude, Cross Flow</t>
  </si>
  <si>
    <t>n</t>
  </si>
  <si>
    <t>Parameters for Macro DelExclCases</t>
  </si>
  <si>
    <t>jfirst</t>
  </si>
  <si>
    <t>first column on sheet m to be scanned (i.e. pertaining to first test to be scanned)</t>
  </si>
  <si>
    <t>jlast</t>
  </si>
  <si>
    <t>last column on sheet m to be scanned (i.e. pertaining to last test to be scanned)</t>
  </si>
  <si>
    <t>ifirst</t>
  </si>
  <si>
    <t>ilast</t>
  </si>
  <si>
    <t>iexcl</t>
  </si>
  <si>
    <t>row number containing "y" where case is to be deleted</t>
  </si>
  <si>
    <t>"y" to exclude case, "n" to include (see macro DelExclCase for use of this output)</t>
  </si>
  <si>
    <t>Distribution of N tilde values</t>
  </si>
  <si>
    <t>Overall</t>
  </si>
  <si>
    <t>Pipe 1</t>
  </si>
  <si>
    <t>Pipe 2</t>
  </si>
  <si>
    <t>Pipe 3</t>
  </si>
  <si>
    <t>LoD</t>
  </si>
  <si>
    <t>Lea_o_L</t>
  </si>
  <si>
    <t>Length/Diameter ratio</t>
  </si>
  <si>
    <t>Factor by which axial flexibility is increased due to end spring</t>
  </si>
  <si>
    <t>_tilde</t>
  </si>
  <si>
    <t>sqrt(2) stdev(N) / Nseq</t>
  </si>
  <si>
    <r>
      <t>Strouhal/Axial Frequency Ratio, ψ</t>
    </r>
    <r>
      <rPr>
        <vertAlign val="subscript"/>
        <sz val="10"/>
        <rFont val="Times New Roman"/>
        <family val="1"/>
      </rPr>
      <t>ai1</t>
    </r>
    <r>
      <rPr>
        <sz val="10"/>
        <rFont val="Times New Roman"/>
        <family val="1"/>
      </rPr>
      <t> = 4 L f</t>
    </r>
    <r>
      <rPr>
        <vertAlign val="subscript"/>
        <sz val="10"/>
        <rFont val="Times New Roman"/>
        <family val="1"/>
      </rPr>
      <t>st</t>
    </r>
    <r>
      <rPr>
        <sz val="10"/>
        <rFont val="Times New Roman"/>
        <family val="1"/>
      </rPr>
      <t> (m</t>
    </r>
    <r>
      <rPr>
        <vertAlign val="subscript"/>
        <sz val="10"/>
        <rFont val="Times New Roman"/>
        <family val="1"/>
      </rPr>
      <t>pw</t>
    </r>
    <r>
      <rPr>
        <sz val="10"/>
        <rFont val="Times New Roman"/>
        <family val="1"/>
      </rPr>
      <t>/EA)</t>
    </r>
    <r>
      <rPr>
        <vertAlign val="superscript"/>
        <sz val="10"/>
        <rFont val="Times New Roman"/>
        <family val="1"/>
      </rPr>
      <t>1/2</t>
    </r>
  </si>
  <si>
    <t>fst</t>
  </si>
  <si>
    <t>Test function jstss(fst, cn, cl, ei, meff)</t>
  </si>
  <si>
    <t>f</t>
  </si>
  <si>
    <t>k</t>
  </si>
  <si>
    <t>Conclusion:  OK.</t>
  </si>
  <si>
    <t># tests</t>
  </si>
  <si>
    <t>Pipe 3 smooth</t>
  </si>
  <si>
    <t>Pipe 3 rough</t>
  </si>
  <si>
    <t>Gravity force normal to pipe, i.e. submerged weight when pipe is horizontal (N/m)</t>
  </si>
  <si>
    <t>Young's modulus of pipe, used only to define fatigue resistance</t>
  </si>
  <si>
    <t xml:space="preserve">ingored points factor, sampling frequency for used points is  fs/ipf </t>
  </si>
  <si>
    <t>m/s^2</t>
  </si>
  <si>
    <t>Pa</t>
  </si>
  <si>
    <t>lambdaCF</t>
  </si>
  <si>
    <t>lambdaIL</t>
  </si>
  <si>
    <t>lambdaILused</t>
  </si>
  <si>
    <t>lambdaCFused</t>
  </si>
  <si>
    <t>value of lambdaIL used, calculated from number of lobes is not estimated otherwise</t>
  </si>
  <si>
    <t>value of lambdaCF used, calculated from number of lobes is not estimated otherwise</t>
  </si>
  <si>
    <t>lambdaIL_tilde</t>
  </si>
  <si>
    <t>lambdaCF_tilde</t>
  </si>
  <si>
    <t>CF normalized dominant half wavelength</t>
  </si>
  <si>
    <t>IL normalized dominant half wavelength</t>
  </si>
  <si>
    <r>
      <t>Fatigue constant “a” in N=a/S</t>
    </r>
    <r>
      <rPr>
        <vertAlign val="superscript"/>
        <sz val="10"/>
        <rFont val="Times New Roman"/>
        <family val="1"/>
      </rPr>
      <t>n</t>
    </r>
    <r>
      <rPr>
        <sz val="10"/>
        <rFont val="Times New Roman"/>
        <family val="1"/>
      </rPr>
      <t>, where N denotes number of cycles to failure S the stress range in Pa</t>
    </r>
  </si>
  <si>
    <t>NMIV</t>
  </si>
  <si>
    <t>NMIL</t>
  </si>
  <si>
    <t>AETV</t>
  </si>
  <si>
    <t>AETL</t>
  </si>
  <si>
    <t>Number of CF modes to be considered in SpanFat analysis with sheet u9 as input</t>
  </si>
  <si>
    <t>Number of IL modes to be considered in SpanFat analysis with sheet u9 as input</t>
  </si>
  <si>
    <t>epsIL_e_tilde_sf</t>
  </si>
  <si>
    <t>epsCF_e_tilde_sf</t>
  </si>
  <si>
    <t>CF normalized fatigue-equivalent strain amplitude from SpanFat</t>
  </si>
  <si>
    <t>Allowable exposure time from SpanFat with Sheet u9 as input file, CF.  (years)</t>
  </si>
  <si>
    <t>Allowable exposure time from SpanFat with Sheet u9 as input file, IL.  (years)</t>
  </si>
  <si>
    <t>epsCF_e_ratio</t>
  </si>
  <si>
    <t>epsIL_e_ratio</t>
  </si>
  <si>
    <t>Ratio of CF fatigue equivalent strains from Test divided by that from SpanFat</t>
  </si>
  <si>
    <t>Ratio of IL fatigue equivalent strains from Test divided by that from SpanFat</t>
  </si>
  <si>
    <t>IEXFLAG</t>
  </si>
  <si>
    <t>SEGAP,SD,PDIR</t>
  </si>
  <si>
    <t>ISSOPT</t>
  </si>
  <si>
    <t>LMMOPT</t>
  </si>
  <si>
    <t>DWC</t>
  </si>
  <si>
    <t>TSTEEL</t>
  </si>
  <si>
    <t>MRATIO</t>
  </si>
  <si>
    <t>SGSW</t>
  </si>
  <si>
    <t>NMIL,NMIV,NX</t>
  </si>
  <si>
    <t>jstss(fst, cn, cl, ei, meff)</t>
  </si>
  <si>
    <t>IX,XKP</t>
  </si>
  <si>
    <t>XKP_PR_FLAG</t>
  </si>
  <si>
    <t>XKPLSH</t>
  </si>
  <si>
    <t>CL,CN</t>
  </si>
  <si>
    <t>EI,ESTEEL,RB</t>
  </si>
  <si>
    <t>i,GZML(i)</t>
  </si>
  <si>
    <t>damping ratio as a function of mode number interplated linearly between values shown</t>
  </si>
  <si>
    <t>GZML_PR_FLAG</t>
  </si>
  <si>
    <t>i,GZMV(i)</t>
  </si>
  <si>
    <t>GZMV_PR_FLAG</t>
  </si>
  <si>
    <t>FRQXL,FRQXV</t>
  </si>
  <si>
    <t>Cut off frequencies</t>
  </si>
  <si>
    <t>NPSN</t>
  </si>
  <si>
    <t>NCY,SR</t>
  </si>
  <si>
    <t>SCF,THKREF,THKEXP</t>
  </si>
  <si>
    <t>METOPT</t>
  </si>
  <si>
    <t>SZR,SZ0</t>
  </si>
  <si>
    <t>NCV,NCDIR</t>
  </si>
  <si>
    <t>MCV,MCDIR</t>
  </si>
  <si>
    <t>BSCV</t>
  </si>
  <si>
    <t>CV1,CDIR1</t>
  </si>
  <si>
    <t>TFA(i,1:NCDIR)</t>
  </si>
  <si>
    <t>CIC</t>
  </si>
  <si>
    <t>ISCL</t>
  </si>
  <si>
    <t>rsf</t>
  </si>
  <si>
    <t>c:\users\Ralf Peek\Documents\w\sfat\</t>
  </si>
  <si>
    <t>SpanFat.u9</t>
  </si>
  <si>
    <t>EAX,LEA,SQL,SQV</t>
  </si>
  <si>
    <t>HSOPT</t>
  </si>
  <si>
    <t>out</t>
  </si>
  <si>
    <t>Outer diameter of steel pipe (m)</t>
  </si>
  <si>
    <t>wall thickness of steel pipe (m)</t>
  </si>
  <si>
    <t>thickness of corrosion coating (m)</t>
  </si>
  <si>
    <t>thickness of weight or insulation coating (m)</t>
  </si>
  <si>
    <t>density of pipe contents (kg/m^3)</t>
  </si>
  <si>
    <t>density of pipe steel (kg/m^3)</t>
  </si>
  <si>
    <t>density of corrosion coating (kg/m^3)</t>
  </si>
  <si>
    <t>density of weight coating (kg/m^3)</t>
  </si>
  <si>
    <t>Young's modulus of steel (MPa)</t>
  </si>
  <si>
    <t>Distributed Axial Soil Spring Stiffness (MPa)</t>
  </si>
  <si>
    <t>ka</t>
  </si>
  <si>
    <t>Effective axial force under gravity loads alone (MN)</t>
  </si>
  <si>
    <t>rhosw</t>
  </si>
  <si>
    <t>density of sea water (kg/m^3)</t>
  </si>
  <si>
    <t>Stiffness of equivalent axial spring at one end of the pipe (results in the same Lea)  (MN/m)</t>
  </si>
  <si>
    <t>EIadj</t>
  </si>
  <si>
    <t>Nadj</t>
  </si>
  <si>
    <t>zchkSt</t>
  </si>
  <si>
    <t>zchk_qc</t>
  </si>
  <si>
    <t>zchk_qd</t>
  </si>
  <si>
    <t>epsCF_ep</t>
  </si>
  <si>
    <t>epsIL_ep</t>
  </si>
  <si>
    <t>Ng_p</t>
  </si>
  <si>
    <t>Cd_p</t>
  </si>
  <si>
    <t>Dc_p</t>
  </si>
  <si>
    <t>qw_p</t>
  </si>
  <si>
    <t>mdw_p</t>
  </si>
  <si>
    <t>mratio_p</t>
  </si>
  <si>
    <t>meff_p</t>
  </si>
  <si>
    <t>EI_p</t>
  </si>
  <si>
    <t>EA_p</t>
  </si>
  <si>
    <t>Lea_p</t>
  </si>
  <si>
    <t>kx_p</t>
  </si>
  <si>
    <t>lambda_p</t>
  </si>
  <si>
    <t>Lst_p</t>
  </si>
  <si>
    <t>N0_p</t>
  </si>
  <si>
    <t>wg_p</t>
  </si>
  <si>
    <t>N_p</t>
  </si>
  <si>
    <t>gerr_p</t>
  </si>
  <si>
    <t>qc_p</t>
  </si>
  <si>
    <t>qd_p</t>
  </si>
  <si>
    <t>Uc_p</t>
  </si>
  <si>
    <t>Tst_p</t>
  </si>
  <si>
    <t>Drag coefficient for prototype pipe</t>
  </si>
  <si>
    <t>Outer diameter including coatings for prototype pipe (m)</t>
  </si>
  <si>
    <t>Submerged weight of prototype pipe (MN/m)</t>
  </si>
  <si>
    <t>mass of displaced water for prototype pipe (kg/m)</t>
  </si>
  <si>
    <t>mass ratio for prototype pipe</t>
  </si>
  <si>
    <t>effective mass for prototype pipe (Gg/m)</t>
  </si>
  <si>
    <t>Flexural rigidity for prototype pipe (MNm^2)</t>
  </si>
  <si>
    <t>Axial rigidity for prototype pipe (MN)</t>
  </si>
  <si>
    <t>Effective axial stiffness length for prototype pipe (m)</t>
  </si>
  <si>
    <t>Dominant half wavelength for prototype span (m)</t>
  </si>
  <si>
    <t>Strouhal length for prototype pipe (m)</t>
  </si>
  <si>
    <t>prototype Midspan Deflection under gravity loads (m)</t>
  </si>
  <si>
    <t>Axial force in prototype pipe under flowing conditions (MN)</t>
  </si>
  <si>
    <t>Combined gravity &amp; drag force on prototype pipe (MN/m)</t>
  </si>
  <si>
    <t>Drag force on prototype pipe (MN/m)</t>
  </si>
  <si>
    <t>Current velocity for prototype pipe (m/s)</t>
  </si>
  <si>
    <t>Strouhal period for prototype pipe (s)</t>
  </si>
  <si>
    <t>prototype Span length (m)</t>
  </si>
  <si>
    <t>eps_1p</t>
  </si>
  <si>
    <t>FDR_CFp</t>
  </si>
  <si>
    <t>FDR_ILp</t>
  </si>
  <si>
    <t>Prototype Cross Flow Fatigue Damage rate (1/s)</t>
  </si>
  <si>
    <t>Prototype In Line Fatigue Damage rate (1/s)</t>
  </si>
  <si>
    <t>wc_p</t>
  </si>
  <si>
    <t>wd_p</t>
  </si>
  <si>
    <t>wz_p</t>
  </si>
  <si>
    <t>prototype Midspan combined Deflection under flowing conditions (m)</t>
  </si>
  <si>
    <t>prototype Midspan horizontal Deflection under flowing conditions (m)</t>
  </si>
  <si>
    <t>prototype Midspan vertical Deflection under flowing conditions (m)</t>
  </si>
  <si>
    <t>x</t>
  </si>
  <si>
    <t>zchk_Lst</t>
  </si>
  <si>
    <t>rotStatic_p</t>
  </si>
  <si>
    <t>prototype combined rotation at ends under flowing conditions (radians)</t>
  </si>
  <si>
    <t>lambdaUsed_tilde</t>
  </si>
  <si>
    <t>normalized half wavelength used to calculated adjusted values of EI and N for the prototype</t>
  </si>
  <si>
    <t>N_pmin</t>
  </si>
  <si>
    <t>N_pmax</t>
  </si>
  <si>
    <t>Minimum prototype axial force under flowing conditions (MN)</t>
  </si>
  <si>
    <t>Maximum prototype axial force under flowing conditions (MN)</t>
  </si>
  <si>
    <t>nsrch</t>
  </si>
  <si>
    <t>Number of points to be used searching for a solution for N_p in the range N_pmin to N_pmax</t>
  </si>
  <si>
    <t>ifirst_p</t>
  </si>
  <si>
    <t>ilast_p</t>
  </si>
  <si>
    <t>iN_p</t>
  </si>
  <si>
    <t>number of row in sheet "m" containing N_p values</t>
  </si>
  <si>
    <t>row number of first cell to be deleted when applicable</t>
  </si>
  <si>
    <t>row number of last cell to be deleted when applicable</t>
  </si>
  <si>
    <t>Nadj - N_p</t>
  </si>
  <si>
    <t>Prototype SpanFat analysis input file.  Arch Action NOT included.</t>
  </si>
  <si>
    <t>Axial force in straight prototype pipe (without gravity loads) (MN)</t>
  </si>
  <si>
    <r>
      <t>Prototype Adjusted flexural rigidity  EI</t>
    </r>
    <r>
      <rPr>
        <vertAlign val="subscript"/>
        <sz val="10"/>
        <rFont val="Times New Roman"/>
        <family val="1"/>
      </rPr>
      <t>adj</t>
    </r>
    <r>
      <rPr>
        <sz val="10"/>
        <rFont val="Times New Roman"/>
        <family val="1"/>
      </rPr>
      <t xml:space="preserve"> = [EI + N (λ/π)</t>
    </r>
    <r>
      <rPr>
        <vertAlign val="superscript"/>
        <sz val="10"/>
        <rFont val="Times New Roman"/>
        <family val="1"/>
      </rPr>
      <t>2</t>
    </r>
    <r>
      <rPr>
        <sz val="10"/>
        <rFont val="Times New Roman"/>
        <family val="1"/>
      </rPr>
      <t>]/(1 +  λ̃</t>
    </r>
    <r>
      <rPr>
        <vertAlign val="superscript"/>
        <sz val="10"/>
        <rFont val="Times New Roman"/>
        <family val="1"/>
      </rPr>
      <t>2</t>
    </r>
    <r>
      <rPr>
        <sz val="10"/>
        <rFont val="Times New Roman"/>
        <family val="1"/>
      </rPr>
      <t xml:space="preserve">  Ñ)   (MNm</t>
    </r>
    <r>
      <rPr>
        <vertAlign val="superscript"/>
        <sz val="10"/>
        <rFont val="Times New Roman"/>
        <family val="1"/>
      </rPr>
      <t>2</t>
    </r>
    <r>
      <rPr>
        <sz val="10"/>
        <rFont val="Times New Roman"/>
        <family val="1"/>
      </rPr>
      <t>)</t>
    </r>
  </si>
  <si>
    <t>Prototype Strouhal frequency zero check (radians/s)^2, adjust N_p to make this zero, e.g. with macro s4N_p.</t>
  </si>
  <si>
    <t>Prototype Cross flow fatigue-equivalent strain amplitude</t>
  </si>
  <si>
    <t>Prototpye In Line fatigue-equivalent strain amplitude</t>
  </si>
  <si>
    <t>Prototype Compatibility check (m) ; should be zero</t>
  </si>
  <si>
    <t>Prototype zero check on combined force qc</t>
  </si>
  <si>
    <t>Prototype zero check on drag force qd</t>
  </si>
  <si>
    <t>Prototype zero check on Strouhal length</t>
  </si>
  <si>
    <t>Prototype unit value of bending strain</t>
  </si>
  <si>
    <t>AETV_p</t>
  </si>
  <si>
    <t>AETL_p</t>
  </si>
  <si>
    <t>epsCF_e_tilde_sfp</t>
  </si>
  <si>
    <t>epsIL_e_tilde_sfp</t>
  </si>
  <si>
    <t>Prototype Allowable exposure time from SpanFat with Sheet u9p as input file, CF.  (years)</t>
  </si>
  <si>
    <t>Prototype Allowable exposure time from SpanFat with Sheet u9p as input file, IL.  (years)</t>
  </si>
  <si>
    <t>Prototype CF normalized fatigue-equivalent strain amplitude from SpanFat</t>
  </si>
  <si>
    <t>FDR_1p</t>
  </si>
  <si>
    <r>
      <t>Prototype Unit value of fatigue damage rate η̇</t>
    </r>
    <r>
      <rPr>
        <vertAlign val="subscript"/>
        <sz val="10"/>
        <rFont val="Times New Roman"/>
        <family val="1"/>
      </rPr>
      <t>1</t>
    </r>
    <r>
      <rPr>
        <sz val="10"/>
        <rFont val="Times New Roman"/>
        <family val="1"/>
      </rPr>
      <t xml:space="preserve"> = [ϵ</t>
    </r>
    <r>
      <rPr>
        <vertAlign val="subscript"/>
        <sz val="10"/>
        <rFont val="Times New Roman"/>
        <family val="1"/>
      </rPr>
      <t>1</t>
    </r>
    <r>
      <rPr>
        <sz val="10"/>
        <rFont val="Times New Roman"/>
        <family val="1"/>
      </rPr>
      <t>/ϵ</t>
    </r>
    <r>
      <rPr>
        <vertAlign val="subscript"/>
        <sz val="10"/>
        <rFont val="Times New Roman"/>
        <family val="1"/>
      </rPr>
      <t>fr</t>
    </r>
    <r>
      <rPr>
        <sz val="10"/>
        <rFont val="Times New Roman"/>
        <family val="1"/>
      </rPr>
      <t>]</t>
    </r>
    <r>
      <rPr>
        <vertAlign val="superscript"/>
        <sz val="10"/>
        <rFont val="Times New Roman"/>
        <family val="1"/>
      </rPr>
      <t>n</t>
    </r>
    <r>
      <rPr>
        <sz val="10"/>
        <rFont val="Times New Roman"/>
        <family val="1"/>
      </rPr>
      <t xml:space="preserve"> /T</t>
    </r>
    <r>
      <rPr>
        <vertAlign val="subscript"/>
        <sz val="10"/>
        <rFont val="Times New Roman"/>
        <family val="1"/>
      </rPr>
      <t>st</t>
    </r>
    <r>
      <rPr>
        <sz val="10"/>
        <rFont val="Times New Roman"/>
        <family val="1"/>
      </rPr>
      <t xml:space="preserve"> = [Eϵ</t>
    </r>
    <r>
      <rPr>
        <vertAlign val="subscript"/>
        <sz val="10"/>
        <rFont val="Times New Roman"/>
        <family val="1"/>
      </rPr>
      <t>1</t>
    </r>
    <r>
      <rPr>
        <sz val="10"/>
        <rFont val="Times New Roman"/>
        <family val="1"/>
      </rPr>
      <t>]</t>
    </r>
    <r>
      <rPr>
        <vertAlign val="superscript"/>
        <sz val="10"/>
        <rFont val="Times New Roman"/>
        <family val="1"/>
      </rPr>
      <t>n</t>
    </r>
    <r>
      <rPr>
        <sz val="10"/>
        <rFont val="Times New Roman"/>
        <family val="1"/>
      </rPr>
      <t xml:space="preserve"> /(a T</t>
    </r>
    <r>
      <rPr>
        <vertAlign val="subscript"/>
        <sz val="10"/>
        <rFont val="Times New Roman"/>
        <family val="1"/>
      </rPr>
      <t>st</t>
    </r>
    <r>
      <rPr>
        <sz val="10"/>
        <rFont val="Times New Roman"/>
        <family val="1"/>
      </rPr>
      <t xml:space="preserve"> )  = [E R</t>
    </r>
    <r>
      <rPr>
        <vertAlign val="subscript"/>
        <sz val="10"/>
        <rFont val="Times New Roman"/>
        <family val="1"/>
      </rPr>
      <t>ϵ</t>
    </r>
    <r>
      <rPr>
        <sz val="10"/>
        <rFont val="Times New Roman"/>
        <family val="1"/>
      </rPr>
      <t>D/L</t>
    </r>
    <r>
      <rPr>
        <vertAlign val="subscript"/>
        <sz val="10"/>
        <rFont val="Times New Roman"/>
        <family val="1"/>
      </rPr>
      <t>st</t>
    </r>
    <r>
      <rPr>
        <vertAlign val="superscript"/>
        <sz val="10"/>
        <rFont val="Times New Roman"/>
        <family val="1"/>
      </rPr>
      <t>2</t>
    </r>
    <r>
      <rPr>
        <sz val="10"/>
        <rFont val="Times New Roman"/>
        <family val="1"/>
      </rPr>
      <t>]</t>
    </r>
    <r>
      <rPr>
        <vertAlign val="superscript"/>
        <sz val="10"/>
        <rFont val="Times New Roman"/>
        <family val="1"/>
      </rPr>
      <t>n</t>
    </r>
    <r>
      <rPr>
        <sz val="10"/>
        <rFont val="Times New Roman"/>
        <family val="1"/>
      </rPr>
      <t xml:space="preserve"> /(a T</t>
    </r>
    <r>
      <rPr>
        <vertAlign val="subscript"/>
        <sz val="10"/>
        <rFont val="Times New Roman"/>
        <family val="1"/>
      </rPr>
      <t>st</t>
    </r>
    <r>
      <rPr>
        <sz val="10"/>
        <rFont val="Times New Roman"/>
        <family val="1"/>
      </rPr>
      <t xml:space="preserve"> )</t>
    </r>
  </si>
  <si>
    <t>zchkCFeps_sf</t>
  </si>
  <si>
    <t>zchkILeps_sf</t>
  </si>
  <si>
    <t>Logarithmic model-prototype difference in normalized CF strain</t>
  </si>
  <si>
    <t>FDR_CF_sfp</t>
  </si>
  <si>
    <t>FDR_IL_sfp</t>
  </si>
  <si>
    <t>Prototype CF fatigue damage rate from SpanFat (no arch action)  (1/s)</t>
  </si>
  <si>
    <t>Prototype IL fatigue damage rate from SpanFat (no arch action)  (1/s)</t>
  </si>
  <si>
    <t>Prototype SpanFat analysis input file, including  Arch Action</t>
  </si>
  <si>
    <t>AETV_ap</t>
  </si>
  <si>
    <t>AETL_ap</t>
  </si>
  <si>
    <t>Prototype Allowable exposure time from SpanFat (including arch action) with Sheet u9ap as input file, CF.  (years)</t>
  </si>
  <si>
    <t>Prototype Allowable exposure time from SpanFat (including arch action) with Sheet u9ap as input file, IL.  (years)</t>
  </si>
  <si>
    <t>FDR_CF_sfap</t>
  </si>
  <si>
    <t>FDR_IL_sfap</t>
  </si>
  <si>
    <t>Prototype CF fatigue damage rate from SpanFat (including arch action)  (1/s)</t>
  </si>
  <si>
    <t>Prototype IL fatigue damage rate from SpanFat (including arch action)  (1/s)</t>
  </si>
  <si>
    <t>OK?</t>
  </si>
  <si>
    <t>chk input variable names</t>
  </si>
  <si>
    <t>Model-Test-Dependent part of Calculation for Prototype</t>
  </si>
  <si>
    <t>Calculation for Prototype (Model-test independent, except when N_p set to make zchkST zero)</t>
  </si>
  <si>
    <t>SpanFat Calc for Prototype (model test independent, except normalized strain values)</t>
  </si>
  <si>
    <t>Static &amp; SpanFat Solution for Prototype (calculated gSensiR, model test independent)</t>
  </si>
  <si>
    <t>zchk_k</t>
  </si>
  <si>
    <t>zero check for effective stiffness at dominant wavelength</t>
  </si>
  <si>
    <t>kratio</t>
  </si>
  <si>
    <t>"y" to run SpanFat for each case when gSensiR runs.  That takes a long time and requires files SpanFat.exe.  To not update the SpanFat results on sheet "m" insert at least one blank line above the green numbers on sheet m with the SpanFat results.  Otherwise SpanFat results will update INCORRECTLY.</t>
  </si>
  <si>
    <t>EIratio</t>
  </si>
  <si>
    <t>ratio adjusted / unadjusted flexural stiffness for prototype</t>
  </si>
  <si>
    <t>adjusted / original stiffness ratio at half the dominant wavelength for prototype</t>
  </si>
  <si>
    <t>Plot</t>
  </si>
  <si>
    <r>
      <t>I̅</t>
    </r>
    <r>
      <rPr>
        <vertAlign val="subscript"/>
        <sz val="10"/>
        <rFont val="Times New Roman"/>
        <family val="1"/>
      </rPr>
      <t>v’ϕ’</t>
    </r>
    <r>
      <rPr>
        <sz val="10"/>
        <rFont val="Times New Roman"/>
        <family val="1"/>
      </rPr>
      <t xml:space="preserve"> = 2/[n̅(1+n̅</t>
    </r>
    <r>
      <rPr>
        <vertAlign val="superscript"/>
        <sz val="10"/>
        <rFont val="Times New Roman"/>
        <family val="1"/>
      </rPr>
      <t>2</t>
    </r>
    <r>
      <rPr>
        <sz val="10"/>
        <rFont val="Times New Roman"/>
        <family val="1"/>
      </rPr>
      <t>)],  n̅ =nπ/L̅,  L̅ = L(N/EI)</t>
    </r>
    <r>
      <rPr>
        <vertAlign val="superscript"/>
        <sz val="10"/>
        <rFont val="Times New Roman"/>
        <family val="1"/>
      </rPr>
      <t>1/2</t>
    </r>
  </si>
  <si>
    <t>Lbar</t>
  </si>
  <si>
    <t>nbar</t>
  </si>
  <si>
    <t>I</t>
  </si>
  <si>
    <t>I (Lbar \ n)</t>
  </si>
  <si>
    <t>3/1</t>
  </si>
  <si>
    <t>5/1</t>
  </si>
  <si>
    <t>Scratch Sheet (unverified calcs, checking vba functions, etc.)</t>
  </si>
  <si>
    <t>Workbooks with save copies of Sheets Plt_2 to Plt_4, named scp3plt*.xlsx</t>
  </si>
  <si>
    <t>01</t>
  </si>
  <si>
    <t>contains all data except unconverged prototype ones</t>
  </si>
  <si>
    <t>DO NOT update links if opening any of these.</t>
  </si>
  <si>
    <t>*</t>
  </si>
  <si>
    <t>exc</t>
  </si>
  <si>
    <t>c_1CF</t>
  </si>
  <si>
    <t>c_2CF</t>
  </si>
  <si>
    <t>c_3CF</t>
  </si>
  <si>
    <t>CF fit of the form  epsilon_CF_e_tilde = c_1CF * L_tilde^c_2CF * Navg_tilde^c_3CF</t>
  </si>
  <si>
    <t>c_1IL</t>
  </si>
  <si>
    <t>c_2IL</t>
  </si>
  <si>
    <t>c_3IL</t>
  </si>
  <si>
    <t>IL fit of the form  epsilon_IL_e_tilde = c_1IL * L_tilde^c_2IL * Navg_tilde^c_3IL</t>
  </si>
  <si>
    <t>number of CF data points</t>
  </si>
  <si>
    <t>sum of squares of logarithmic differences</t>
  </si>
  <si>
    <t>logarithmic standard deviation of prediction</t>
  </si>
  <si>
    <t>number of IL data points</t>
  </si>
  <si>
    <t>logarithmic standard deviation of all epsilonCF_e_tilde values</t>
  </si>
  <si>
    <t>ln(epsCF_e_tilde)</t>
  </si>
  <si>
    <t>ln(epsIL_e_tilde)</t>
  </si>
  <si>
    <t>logarithmic standard deviation of all epsilonIL_e_tilde values</t>
  </si>
  <si>
    <t>geometric mean value of epsilonCF_e_tilde</t>
  </si>
  <si>
    <t>geometric mean value of epsilonIL_e_tilde</t>
  </si>
  <si>
    <t>a_1CF</t>
  </si>
  <si>
    <t>a_2CF</t>
  </si>
  <si>
    <t>a_1IL</t>
  </si>
  <si>
    <t>a_2IL</t>
  </si>
  <si>
    <t>CF actual/fit 2</t>
  </si>
  <si>
    <t>IL  actual/fit 2</t>
  </si>
  <si>
    <t>Ñ</t>
  </si>
  <si>
    <t>Plot data for this fit:</t>
  </si>
  <si>
    <r>
      <t>ϵ̃</t>
    </r>
    <r>
      <rPr>
        <vertAlign val="subscript"/>
        <sz val="10"/>
        <rFont val="Times New Roman"/>
        <family val="1"/>
      </rPr>
      <t>e</t>
    </r>
    <r>
      <rPr>
        <sz val="10"/>
        <rFont val="Times New Roman"/>
        <family val="1"/>
      </rPr>
      <t xml:space="preserve"> CF</t>
    </r>
  </si>
  <si>
    <r>
      <t>ϵ̃</t>
    </r>
    <r>
      <rPr>
        <vertAlign val="subscript"/>
        <sz val="10"/>
        <rFont val="Times New Roman"/>
        <family val="1"/>
      </rPr>
      <t>e</t>
    </r>
    <r>
      <rPr>
        <sz val="10"/>
        <rFont val="Times New Roman"/>
        <family val="1"/>
      </rPr>
      <t xml:space="preserve">  IL</t>
    </r>
  </si>
  <si>
    <r>
      <t>CF fit  ϵ̃</t>
    </r>
    <r>
      <rPr>
        <vertAlign val="subscript"/>
        <sz val="10"/>
        <rFont val="Times New Roman"/>
        <family val="1"/>
      </rPr>
      <t>e</t>
    </r>
    <r>
      <rPr>
        <sz val="10"/>
        <rFont val="Times New Roman"/>
        <family val="1"/>
      </rPr>
      <t xml:space="preserve"> = 5.22 Ñ</t>
    </r>
    <r>
      <rPr>
        <vertAlign val="superscript"/>
        <sz val="10"/>
        <rFont val="Times New Roman"/>
        <family val="1"/>
      </rPr>
      <t>0.155</t>
    </r>
    <r>
      <rPr>
        <sz val="10"/>
        <rFont val="Times New Roman"/>
        <family val="1"/>
      </rPr>
      <t xml:space="preserve"> </t>
    </r>
  </si>
  <si>
    <r>
      <t>IL fit  ϵ̃</t>
    </r>
    <r>
      <rPr>
        <vertAlign val="subscript"/>
        <sz val="10"/>
        <rFont val="Times New Roman"/>
        <family val="1"/>
      </rPr>
      <t>e</t>
    </r>
    <r>
      <rPr>
        <sz val="10"/>
        <rFont val="Times New Roman"/>
        <family val="1"/>
      </rPr>
      <t xml:space="preserve"> = 3.87 Ñ</t>
    </r>
    <r>
      <rPr>
        <vertAlign val="superscript"/>
        <sz val="10"/>
        <rFont val="Times New Roman"/>
        <family val="1"/>
      </rPr>
      <t>0.216</t>
    </r>
  </si>
  <si>
    <t>Cross Flow:  epsilonCF_e_tilde = b_1CF+b_2CF*ln(L_tilde)+b_3CF*ln(Navg_tilde)</t>
  </si>
  <si>
    <t>b_1CF</t>
  </si>
  <si>
    <t>b_2CF</t>
  </si>
  <si>
    <t>b_3CF</t>
  </si>
  <si>
    <t>epsCF_e_tilde fit3</t>
  </si>
  <si>
    <t>epsIL_e_tilde fit3</t>
  </si>
  <si>
    <t>Log-Linear Fits  ("fit 3")</t>
  </si>
  <si>
    <t>CF actual/fit 1</t>
  </si>
  <si>
    <t>IL  actual/fit 1</t>
  </si>
  <si>
    <t>epsCF_e fit 1 error</t>
  </si>
  <si>
    <t>epsIL_e fit 1 error</t>
  </si>
  <si>
    <t>number of data points</t>
  </si>
  <si>
    <t>b_1IL</t>
  </si>
  <si>
    <t>b_2IL</t>
  </si>
  <si>
    <t>b_3IL</t>
  </si>
  <si>
    <t>In Line:  epsilonIL_e_tilde = b_1IL+b_2IL*ln(L_tilde)+b_3IL*ln(Navg_tilde)</t>
  </si>
  <si>
    <t>CF ln(actual/fit 3)</t>
  </si>
  <si>
    <t>IL ln(actual/fit 3)</t>
  </si>
  <si>
    <t>Cross Flow</t>
  </si>
  <si>
    <t>In Line</t>
  </si>
  <si>
    <t>Conclusion:  fit 3 is worse than fit 1.  Do not use.</t>
  </si>
  <si>
    <t>geometric mean value of ratio actual / F105 value of normalized fatigue-equivalent bending strain</t>
  </si>
  <si>
    <t>standard deviation of ratio actual / F105 value of normalized fatigue-equivalent bending strain</t>
  </si>
  <si>
    <t>AETV_a</t>
  </si>
  <si>
    <t>AETL_a</t>
  </si>
  <si>
    <t>epsCF_e_tilde_sfa</t>
  </si>
  <si>
    <t>epsIL_e_tilde_sfa</t>
  </si>
  <si>
    <t>Allowable exposure time from SpanFat with Sheet u9a as input file, IL.  (years) includes arch action</t>
  </si>
  <si>
    <t>Allowable exposure time from SpanFat with Sheet u9a as input file, CF.  (years) includes arch action</t>
  </si>
  <si>
    <t>CF normalized fatigue-equivalent strain amplitude from SpanFat including arch action</t>
  </si>
  <si>
    <t>epsCF_e_ratio_a</t>
  </si>
  <si>
    <t>epsIL_e_ratio_a</t>
  </si>
  <si>
    <t>Ratio of CF fatigue equivalent strains from Test divided by that from SpanFat including arch action</t>
  </si>
  <si>
    <t>Ratio of IL fatigue equivalent strains from Test divided by that from SpanFat including arch action</t>
  </si>
  <si>
    <t>ln(epsCF_e_ratio_a)</t>
  </si>
  <si>
    <t>ln(epsIL_e_ratio_a)</t>
  </si>
  <si>
    <t>Fit from F105 WITH arch action</t>
  </si>
  <si>
    <t>Fit from F105 WITHOUT arch action</t>
  </si>
  <si>
    <t>% change due to arch action</t>
  </si>
  <si>
    <t>natural frequency of mode 1 including arch action with both ends axially fixed (Hz)</t>
  </si>
  <si>
    <t>f1ss_f</t>
  </si>
  <si>
    <t>fjss_f</t>
  </si>
  <si>
    <t>natural frequency of mode jst with arch action with both ends axially fixed (Hz)</t>
  </si>
  <si>
    <t>psi_arch1_f</t>
  </si>
  <si>
    <t>psi_arch_st_f</t>
  </si>
  <si>
    <t>relative increase natural frequency of mode 1 due to arch action with both ends axially fixed</t>
  </si>
  <si>
    <t>relative increase natural frequency of mode jst due to arch action with both ends axially fixed</t>
  </si>
  <si>
    <t>Value of nonlinearity indicator psi_nl assuming both ends are axially fixed</t>
  </si>
  <si>
    <t>psi_nl_f</t>
  </si>
  <si>
    <t>ndamp</t>
  </si>
  <si>
    <t>zeta_ndamp</t>
  </si>
  <si>
    <t>fnss_0</t>
  </si>
  <si>
    <t>flexural stiffness proportional damping ratio  (N m^2 s)</t>
  </si>
  <si>
    <t>Ck</t>
  </si>
  <si>
    <t>Ck_tilde</t>
  </si>
  <si>
    <r>
      <t>Normalized flexural stiffness proportional damping ratio  C̃</t>
    </r>
    <r>
      <rPr>
        <vertAlign val="subscript"/>
        <sz val="10"/>
        <rFont val="Times New Roman"/>
        <family val="1"/>
      </rPr>
      <t>κ</t>
    </r>
    <r>
      <rPr>
        <sz val="10"/>
        <rFont val="Times New Roman"/>
        <family val="1"/>
      </rPr>
      <t xml:space="preserve"> = π</t>
    </r>
    <r>
      <rPr>
        <vertAlign val="superscript"/>
        <sz val="10"/>
        <rFont val="Times New Roman"/>
        <family val="1"/>
      </rPr>
      <t>3</t>
    </r>
    <r>
      <rPr>
        <sz val="10"/>
        <rFont val="Times New Roman"/>
        <family val="1"/>
      </rPr>
      <t xml:space="preserve"> C</t>
    </r>
    <r>
      <rPr>
        <vertAlign val="subscript"/>
        <sz val="10"/>
        <rFont val="Times New Roman"/>
        <family val="1"/>
      </rPr>
      <t>κ</t>
    </r>
    <r>
      <rPr>
        <sz val="10"/>
        <rFont val="Times New Roman"/>
        <family val="1"/>
      </rPr>
      <t xml:space="preserve"> c</t>
    </r>
    <r>
      <rPr>
        <vertAlign val="subscript"/>
        <sz val="10"/>
        <rFont val="Times New Roman"/>
        <family val="1"/>
      </rPr>
      <t>eff</t>
    </r>
    <r>
      <rPr>
        <sz val="10"/>
        <rFont val="Times New Roman"/>
        <family val="1"/>
      </rPr>
      <t>/[EI T</t>
    </r>
    <r>
      <rPr>
        <vertAlign val="subscript"/>
        <sz val="10"/>
        <rFont val="Times New Roman"/>
        <family val="1"/>
      </rPr>
      <t>st</t>
    </r>
    <r>
      <rPr>
        <sz val="10"/>
        <rFont val="Times New Roman"/>
        <family val="1"/>
      </rPr>
      <t xml:space="preserve"> (1+Ñ)]</t>
    </r>
  </si>
  <si>
    <t>copy of plot to left displaying a different set of data</t>
  </si>
  <si>
    <t>FDR_CFp/F105</t>
  </si>
  <si>
    <t>FDR_ILp/F105</t>
  </si>
  <si>
    <t>ln(FDR_CFp/F105)</t>
  </si>
  <si>
    <t>ln(FDR_ILp/F105)</t>
  </si>
  <si>
    <t>Prototype Fatigue Damage Rates for velocities in excess of 0.6m/s</t>
  </si>
  <si>
    <t>geometric mean of scaled / F105 value</t>
  </si>
  <si>
    <t>corresponding logarithmic standard deviation</t>
  </si>
  <si>
    <t>max value of ratio</t>
  </si>
  <si>
    <t>min value of ratio</t>
  </si>
  <si>
    <t>max/min</t>
  </si>
  <si>
    <t>Fitting by fatigue equivalent strains by a constant ("fit 0")</t>
  </si>
  <si>
    <t>Log-Log linear fit using L_tilde and Navg_tilde ("fit 1")</t>
  </si>
  <si>
    <t>Log-Log linear fit using Navg_tilde only ("Fit 2")</t>
  </si>
  <si>
    <t>c.f. logarithmic standard deviation for log-log (fit 1) case</t>
  </si>
  <si>
    <t>d_1CF</t>
  </si>
  <si>
    <t>d_2CF</t>
  </si>
  <si>
    <t>d_3CF</t>
  </si>
  <si>
    <t>d_4CF</t>
  </si>
  <si>
    <t>d_1IL</t>
  </si>
  <si>
    <t>d_2IL</t>
  </si>
  <si>
    <t>d_3IL</t>
  </si>
  <si>
    <t>d_4IL</t>
  </si>
  <si>
    <t>cpipe</t>
  </si>
  <si>
    <t>Calculated mass ratio (deemed more reliable than mratio)</t>
  </si>
  <si>
    <t>epsCF_e fit 4 error</t>
  </si>
  <si>
    <t>epsIL_e fit 4 error</t>
  </si>
  <si>
    <t>CF actual/fit 4</t>
  </si>
  <si>
    <t>IL  actual/fit 4</t>
  </si>
  <si>
    <t>CF fit of the form  epsilon_CF_e_tilde = d_1CF * L_tilde^d_2CF * Navg_tilde^d_3CF * cpipe^d_4CF</t>
  </si>
  <si>
    <t>IL fit of the form  epsilon_IL_e_tilde = d_1IL * L_tilde^d_2IL * Navg_tilde^d_3IL * cpipe^d_4IL</t>
  </si>
  <si>
    <t>Log-Log linear fit using L_tilde and Navg_tilde and cpipe ("fit 4")</t>
  </si>
  <si>
    <t>h_1CF</t>
  </si>
  <si>
    <t>h_2CF</t>
  </si>
  <si>
    <t>h_3CF</t>
  </si>
  <si>
    <t>h_4CF</t>
  </si>
  <si>
    <t>h_5CF</t>
  </si>
  <si>
    <t>h_1IL</t>
  </si>
  <si>
    <t>h_2IL</t>
  </si>
  <si>
    <t>h_3IL</t>
  </si>
  <si>
    <t>h_4IL</t>
  </si>
  <si>
    <t>h_5IL</t>
  </si>
  <si>
    <t>CF fit of the form  epsilon_CF_e_tilde = h_1CF * L_tilde^h_2CF * Navg_tilde^h_3CF * cpipe^h_4CF * Reyn^h_4CF</t>
  </si>
  <si>
    <t>IL fit of the form  epsilon_IL_e_tilde = h_1IL * L_tilde^h_2IL * Navg_tilde^h_3IL * cpipe^h_4IL * Reyn^h_4IL</t>
  </si>
  <si>
    <t>epsCF_e fit 5 error</t>
  </si>
  <si>
    <t>epsIL_e fit 5 error</t>
  </si>
  <si>
    <t>CF actual/fit 5</t>
  </si>
  <si>
    <t>IL  actual/fit 5</t>
  </si>
  <si>
    <t>epsilonCF_e_tilde  fit 4 parameter 1</t>
  </si>
  <si>
    <t>epsilonCF_e_tilde  fit 4 parameter 2</t>
  </si>
  <si>
    <t>epsilonCF_e_tilde  fit 4 parameter 3</t>
  </si>
  <si>
    <t>epsilonCF_e_tilde  fit 4 parameter 4</t>
  </si>
  <si>
    <t>epsilonIL_e_tilde  fit 4 parameter 1</t>
  </si>
  <si>
    <t>epsilonIL_e_tilde  fit 4 parameter 2</t>
  </si>
  <si>
    <t>epsilonIL_e_tilde  fit 4 parameter 3</t>
  </si>
  <si>
    <t>epsilonIL_e_tilde  fit 4 parameter 4</t>
  </si>
  <si>
    <t>epsilonCF_e_tilde  fit 5 parameter 1</t>
  </si>
  <si>
    <t>epsilonCF_e_tilde  fit 5 parameter 2</t>
  </si>
  <si>
    <t>epsilonCF_e_tilde  fit 5 parameter 3</t>
  </si>
  <si>
    <t>epsilonCF_e_tilde  fit 5 parameter 4</t>
  </si>
  <si>
    <t>epsilonCF_e_tilde  fit 5 parameter 5</t>
  </si>
  <si>
    <t>epsilonIL_e_tilde  fit 5 parameter 1</t>
  </si>
  <si>
    <t>epsilonIL_e_tilde  fit 5 parameter 2</t>
  </si>
  <si>
    <t>epsilonIL_e_tilde  fit 5 parameter 3</t>
  </si>
  <si>
    <t>epsilonIL_e_tilde  fit 5 parameter 4</t>
  </si>
  <si>
    <t>epsilonIL_e_tilde  fit 5 parameter 5</t>
  </si>
  <si>
    <t>epsilonCF_e_tilde  fit 1 parameter 1</t>
  </si>
  <si>
    <t>epsilonCF_e_tilde  fit 1 parameter 2</t>
  </si>
  <si>
    <t>epsilonCF_e_tilde  fit 1 parameter 3</t>
  </si>
  <si>
    <t>epsilonIL_e_tilde  fit 1 parameter 1</t>
  </si>
  <si>
    <t>epsilonIL_e_tilde  fit 1 parameter 2</t>
  </si>
  <si>
    <t>epsilonIL_e_tilde  fit 1 parameter 3</t>
  </si>
  <si>
    <t>CF fit of form   esilonCF_e_tide = a_1CF*Navg_tilde^a_2CF</t>
  </si>
  <si>
    <t>IL fit of form   esilonIL_e_tide = a_1IL*Navg_tilde^a_2IL</t>
  </si>
  <si>
    <t>epsilonCF_e_tilde fit 2 parameter 1</t>
  </si>
  <si>
    <t>epsilonCF_e_tilde fit 2 parameter 2</t>
  </si>
  <si>
    <t>epsilonIL_e_tilde fit 2 parameter 1</t>
  </si>
  <si>
    <t>epsilonIL_e_tilde fit 2 parameter 2</t>
  </si>
  <si>
    <t>epsilonCF_e_tilde fit 3 parameter 1</t>
  </si>
  <si>
    <t>epsilonCF_e_tilde fit 3 parameter 2</t>
  </si>
  <si>
    <t>epsilonCF_e_tilde fit 3 parameter 3</t>
  </si>
  <si>
    <t>Log-Log linear fit using L_tilde,  Navg_tilde,  cpipe, and Reyn ("fit 5")</t>
  </si>
  <si>
    <t>Swithenbank Reynolds number effect</t>
  </si>
  <si>
    <t>Re</t>
  </si>
  <si>
    <t>A/D</t>
  </si>
  <si>
    <t>xmean/D</t>
  </si>
  <si>
    <t>ymax/D</t>
  </si>
  <si>
    <t>ymean/D</t>
  </si>
  <si>
    <t>Includes calcs that are easier to repeat than to document and check, exploratory calcs &amp; investigations not used, etc.</t>
  </si>
  <si>
    <t>From sheet C</t>
  </si>
  <si>
    <t>VIVANA</t>
  </si>
  <si>
    <t>fatigue (1/yr)</t>
  </si>
  <si>
    <t>fatigue (1/s)</t>
  </si>
  <si>
    <t>Deflection at mid-span in towing direction (m)</t>
  </si>
  <si>
    <t>Outer diameter steel pipe</t>
  </si>
  <si>
    <t>Thickness steel pipe</t>
  </si>
  <si>
    <t>Inner diameter steel pipe</t>
  </si>
  <si>
    <t>Coating thickness</t>
  </si>
  <si>
    <t>Corrossion thickness</t>
  </si>
  <si>
    <t>Hydrodynamic diameter</t>
  </si>
  <si>
    <t>Density steel</t>
  </si>
  <si>
    <t>kg/m3</t>
  </si>
  <si>
    <t>Density internal gas</t>
  </si>
  <si>
    <t>Density coating</t>
  </si>
  <si>
    <t>Elastic modulus steel</t>
  </si>
  <si>
    <t>N/m2</t>
  </si>
  <si>
    <t>Axial spring stiffness</t>
  </si>
  <si>
    <t>Drag coefficient</t>
  </si>
  <si>
    <t>Esteel</t>
  </si>
  <si>
    <t>Apipe</t>
  </si>
  <si>
    <t>m2</t>
  </si>
  <si>
    <t>EApipe</t>
  </si>
  <si>
    <t>sn curve n</t>
  </si>
  <si>
    <t>sn curve a_fat</t>
  </si>
  <si>
    <t>pa</t>
  </si>
  <si>
    <t>sn curve log10 (a_fat)</t>
  </si>
  <si>
    <t>Mpa</t>
  </si>
  <si>
    <t>version</t>
  </si>
  <si>
    <t>4.21.1</t>
  </si>
  <si>
    <t>Parameter</t>
  </si>
  <si>
    <t>Value</t>
  </si>
  <si>
    <t>Unit</t>
  </si>
  <si>
    <t>Comment</t>
  </si>
  <si>
    <t>mass and stiffness of the corossion layer is neglected in the model</t>
  </si>
  <si>
    <t>log10(ratio)</t>
  </si>
  <si>
    <r>
      <t>C = 2 ζ m ω</t>
    </r>
    <r>
      <rPr>
        <vertAlign val="subscript"/>
        <sz val="10"/>
        <rFont val="Times New Roman"/>
        <family val="1"/>
      </rPr>
      <t>n</t>
    </r>
    <r>
      <rPr>
        <sz val="10"/>
        <rFont val="Times New Roman"/>
        <family val="1"/>
      </rPr>
      <t xml:space="preserve"> /k</t>
    </r>
    <r>
      <rPr>
        <vertAlign val="superscript"/>
        <sz val="10"/>
        <rFont val="Times New Roman"/>
        <family val="1"/>
      </rPr>
      <t>4</t>
    </r>
  </si>
  <si>
    <t>corr 2feb2022</t>
  </si>
  <si>
    <t>cv</t>
  </si>
  <si>
    <t>aod</t>
  </si>
  <si>
    <t>A/D ratio for free vibration test to determing damping in still water</t>
  </si>
  <si>
    <t>Venugopal Damping Coefficient (Ns/m^2) in still water, CfVenugopal(rho, od, rew, uc, a, f, UR_range As String)</t>
  </si>
  <si>
    <t>Contents</t>
  </si>
  <si>
    <t>Check Consistency of Input Cells on  Sheets "c" and "m"</t>
  </si>
  <si>
    <t>All consistent</t>
  </si>
  <si>
    <t>First consistent</t>
  </si>
  <si>
    <t>2nd consistent</t>
  </si>
  <si>
    <t>etc.</t>
  </si>
  <si>
    <t>These must be consistent so that test result cells on sheet "m" may be pasted as input on sheet "c".</t>
  </si>
  <si>
    <t>SubDamp</t>
  </si>
  <si>
    <t>True if damping test performed with pipe submerged.</t>
  </si>
  <si>
    <t>natural frequency of mode ndamp without arch action during damping test (Hz)</t>
  </si>
  <si>
    <t>m_damp</t>
  </si>
  <si>
    <t>effective mass during damping test (kg/m)</t>
  </si>
  <si>
    <t>Flexural material damping ratio at natural frequency of damping test</t>
  </si>
  <si>
    <t>xik</t>
  </si>
  <si>
    <t>Hydrodynamic  damping ratio for damping test (assuming in still water),  c/(4 π fn m)</t>
  </si>
  <si>
    <t>zeta_h</t>
  </si>
  <si>
    <t>Flexural stiffness proportional Damping ratio damping test on mode number ndamp</t>
  </si>
  <si>
    <t>Mode number to define flexural stiffness proportional damping coefficient Ck &amp; for damping test</t>
  </si>
  <si>
    <t>Damping Tests on Shell Pipes 2 &amp; 3, reported by Jie 10mar2022</t>
  </si>
  <si>
    <t>Test no.</t>
  </si>
  <si>
    <t>filtering</t>
  </si>
  <si>
    <t>time window</t>
  </si>
  <si>
    <t>Amplitude</t>
  </si>
  <si>
    <t>Dominant mode</t>
  </si>
  <si>
    <t>Damping ratio</t>
  </si>
  <si>
    <t>Comments</t>
  </si>
  <si>
    <t>min (Hz)</t>
  </si>
  <si>
    <t>max (Hz)</t>
  </si>
  <si>
    <t>start (s)</t>
  </si>
  <si>
    <t>end (s)</t>
  </si>
  <si>
    <t>x0(m)</t>
  </si>
  <si>
    <t>xn (m)</t>
  </si>
  <si>
    <t>1/(2pi*n) ln(x0/xn)</t>
  </si>
  <si>
    <t>Shell 38 m riser test (pipe2)</t>
  </si>
  <si>
    <t>Shell 38 m riser test (pipe3)</t>
  </si>
  <si>
    <t>2,3</t>
  </si>
  <si>
    <t>Two half shells were wrapped around the pipe2 and higher material damping is expected due to friction;</t>
  </si>
  <si>
    <t>Difficult to evaluate damping ratio for shorter time windows due to frequency modulation.</t>
  </si>
  <si>
    <t>NDP 38m riser with staggered buoyancy elements (bare pipe)</t>
  </si>
  <si>
    <t>Same pipe as pipe2 in Shell test</t>
  </si>
  <si>
    <t>Amplitude Ratio A/D</t>
  </si>
  <si>
    <t>x0/D</t>
  </si>
  <si>
    <t>xn/D</t>
  </si>
  <si>
    <t>ifirst_2</t>
  </si>
  <si>
    <t>ilast_2</t>
  </si>
  <si>
    <t>row number of first cell in 2nd set to be deleted when applicable</t>
  </si>
  <si>
    <t>row number of last cell in 2nd set to be deleted when applicable</t>
  </si>
  <si>
    <t>geo avg</t>
  </si>
  <si>
    <t>ln stdev</t>
  </si>
  <si>
    <t>Effect of Arch Action on test/F105 ratios for fatigue-equivalent strain amplitude</t>
  </si>
  <si>
    <t>IL</t>
  </si>
  <si>
    <t>CF</t>
  </si>
  <si>
    <t>on geometric average</t>
  </si>
  <si>
    <t>on logarithmi Standar deviation</t>
  </si>
  <si>
    <t>Misc</t>
  </si>
  <si>
    <t>idum</t>
  </si>
  <si>
    <t>Dummy variable, change to bring about re-evaluation of VB furnctions with implicit arguments.</t>
  </si>
  <si>
    <t>Prototype Strouhal length (m)</t>
  </si>
  <si>
    <t>Prototype normalized axial force when N is not adjusted (MN)</t>
  </si>
  <si>
    <t>Prototype normalized span length</t>
  </si>
  <si>
    <t>Lst_nap</t>
  </si>
  <si>
    <t>L_tilde_nap</t>
  </si>
  <si>
    <t>N_tilde_nap</t>
  </si>
  <si>
    <t>epsCF_e_tilde_nap</t>
  </si>
  <si>
    <t>epsIL_e_tilde_nap</t>
  </si>
  <si>
    <t>Normalized fatigue equivalent cross flow bending strain for not adjusted prototype</t>
  </si>
  <si>
    <t>Normalized fatigue equivalent in line bending strain for not adjusted prototype</t>
  </si>
  <si>
    <t>FDR_IL_nap</t>
  </si>
  <si>
    <t>FDR_CF_nap</t>
  </si>
  <si>
    <r>
      <t>ϵ̃</t>
    </r>
    <r>
      <rPr>
        <vertAlign val="subscript"/>
        <sz val="10"/>
        <rFont val="Times New Roman"/>
        <family val="1"/>
      </rPr>
      <t>e</t>
    </r>
    <r>
      <rPr>
        <sz val="10"/>
        <rFont val="Times New Roman"/>
        <family val="1"/>
      </rPr>
      <t xml:space="preserve"> = 4.90 L̃</t>
    </r>
    <r>
      <rPr>
        <vertAlign val="superscript"/>
        <sz val="10"/>
        <rFont val="Times New Roman"/>
        <family val="1"/>
      </rPr>
      <t>0.152</t>
    </r>
    <r>
      <rPr>
        <sz val="10"/>
        <rFont val="Times New Roman"/>
        <family val="1"/>
      </rPr>
      <t xml:space="preserve"> Ñ</t>
    </r>
    <r>
      <rPr>
        <vertAlign val="superscript"/>
        <sz val="10"/>
        <rFont val="Times New Roman"/>
        <family val="1"/>
      </rPr>
      <t>0.157</t>
    </r>
    <r>
      <rPr>
        <sz val="10"/>
        <rFont val="Times New Roman"/>
        <family val="1"/>
      </rPr>
      <t xml:space="preserve"> m̃</t>
    </r>
    <r>
      <rPr>
        <vertAlign val="superscript"/>
        <sz val="10"/>
        <rFont val="Times New Roman"/>
        <family val="1"/>
      </rPr>
      <t>-0.593</t>
    </r>
  </si>
  <si>
    <r>
      <t>ϵ̃</t>
    </r>
    <r>
      <rPr>
        <vertAlign val="subscript"/>
        <sz val="10"/>
        <rFont val="Times New Roman"/>
        <family val="1"/>
      </rPr>
      <t>e</t>
    </r>
    <r>
      <rPr>
        <sz val="10"/>
        <rFont val="Times New Roman"/>
        <family val="1"/>
      </rPr>
      <t xml:space="preserve"> = 2.72 L̃</t>
    </r>
    <r>
      <rPr>
        <vertAlign val="superscript"/>
        <sz val="10"/>
        <rFont val="Times New Roman"/>
        <family val="1"/>
      </rPr>
      <t>0.215</t>
    </r>
    <r>
      <rPr>
        <sz val="10"/>
        <rFont val="Times New Roman"/>
        <family val="1"/>
      </rPr>
      <t xml:space="preserve"> Ñ</t>
    </r>
    <r>
      <rPr>
        <vertAlign val="superscript"/>
        <sz val="10"/>
        <rFont val="Times New Roman"/>
        <family val="1"/>
      </rPr>
      <t>0.214</t>
    </r>
    <r>
      <rPr>
        <sz val="10"/>
        <rFont val="Times New Roman"/>
        <family val="1"/>
      </rPr>
      <t xml:space="preserve"> m̃</t>
    </r>
    <r>
      <rPr>
        <vertAlign val="superscript"/>
        <sz val="10"/>
        <rFont val="Times New Roman"/>
        <family val="1"/>
      </rPr>
      <t>-0.244</t>
    </r>
  </si>
  <si>
    <r>
      <t>L</t>
    </r>
    <r>
      <rPr>
        <vertAlign val="subscript"/>
        <sz val="10"/>
        <rFont val="Times New Roman"/>
        <family val="1"/>
      </rPr>
      <t>st</t>
    </r>
    <r>
      <rPr>
        <sz val="10"/>
        <rFont val="Times New Roman"/>
        <family val="1"/>
      </rPr>
      <t xml:space="preserve"> = π (2EI)</t>
    </r>
    <r>
      <rPr>
        <vertAlign val="superscript"/>
        <sz val="10"/>
        <rFont val="Times New Roman"/>
        <family val="1"/>
      </rPr>
      <t>1/2</t>
    </r>
    <r>
      <rPr>
        <sz val="10"/>
        <rFont val="Times New Roman"/>
        <family val="1"/>
      </rPr>
      <t>/{[N</t>
    </r>
    <r>
      <rPr>
        <vertAlign val="superscript"/>
        <sz val="10"/>
        <rFont val="Times New Roman"/>
        <family val="1"/>
      </rPr>
      <t>2</t>
    </r>
    <r>
      <rPr>
        <sz val="10"/>
        <rFont val="Times New Roman"/>
        <family val="1"/>
      </rPr>
      <t xml:space="preserve"> + 16π</t>
    </r>
    <r>
      <rPr>
        <vertAlign val="superscript"/>
        <sz val="10"/>
        <rFont val="Times New Roman"/>
        <family val="1"/>
      </rPr>
      <t>2</t>
    </r>
    <r>
      <rPr>
        <sz val="10"/>
        <rFont val="Times New Roman"/>
        <family val="1"/>
      </rPr>
      <t xml:space="preserve"> EI m</t>
    </r>
    <r>
      <rPr>
        <vertAlign val="subscript"/>
        <sz val="10"/>
        <rFont val="Times New Roman"/>
        <family val="1"/>
      </rPr>
      <t>eff</t>
    </r>
    <r>
      <rPr>
        <sz val="10"/>
        <rFont val="Times New Roman"/>
        <family val="1"/>
      </rPr>
      <t xml:space="preserve"> f</t>
    </r>
    <r>
      <rPr>
        <vertAlign val="subscript"/>
        <sz val="10"/>
        <rFont val="Times New Roman"/>
        <family val="1"/>
      </rPr>
      <t>st</t>
    </r>
    <r>
      <rPr>
        <vertAlign val="superscript"/>
        <sz val="10"/>
        <rFont val="Times New Roman"/>
        <family val="1"/>
      </rPr>
      <t>2</t>
    </r>
    <r>
      <rPr>
        <sz val="10"/>
        <rFont val="Times New Roman"/>
        <family val="1"/>
      </rPr>
      <t>]</t>
    </r>
    <r>
      <rPr>
        <vertAlign val="superscript"/>
        <sz val="10"/>
        <rFont val="Times New Roman"/>
        <family val="1"/>
      </rPr>
      <t>1/2</t>
    </r>
    <r>
      <rPr>
        <sz val="10"/>
        <rFont val="Times New Roman"/>
        <family val="1"/>
      </rPr>
      <t xml:space="preserve"> - N}</t>
    </r>
    <r>
      <rPr>
        <vertAlign val="superscript"/>
        <sz val="10"/>
        <rFont val="Times New Roman"/>
        <family val="1"/>
      </rPr>
      <t>1/2</t>
    </r>
  </si>
  <si>
    <t>fst_p</t>
  </si>
  <si>
    <t>Strouhal frequency (Hz)</t>
  </si>
  <si>
    <t>Cross Flow Fatigue Damage rate for not adjusted prototype (1/s)</t>
  </si>
  <si>
    <t>In Line Fatigue Damage rate for not adjusted prototype (1/s)</t>
  </si>
  <si>
    <r>
      <t>η̇ = (2 E ϵ̃</t>
    </r>
    <r>
      <rPr>
        <vertAlign val="subscript"/>
        <sz val="10"/>
        <rFont val="Times New Roman"/>
        <family val="1"/>
      </rPr>
      <t>e</t>
    </r>
    <r>
      <rPr>
        <sz val="10"/>
        <rFont val="Times New Roman"/>
        <family val="1"/>
      </rPr>
      <t xml:space="preserve"> D R</t>
    </r>
    <r>
      <rPr>
        <vertAlign val="subscript"/>
        <sz val="10"/>
        <rFont val="Times New Roman"/>
        <family val="1"/>
      </rPr>
      <t>b</t>
    </r>
    <r>
      <rPr>
        <sz val="10"/>
        <rFont val="Times New Roman"/>
        <family val="1"/>
      </rPr>
      <t>/L</t>
    </r>
    <r>
      <rPr>
        <vertAlign val="subscript"/>
        <sz val="10"/>
        <rFont val="Times New Roman"/>
        <family val="1"/>
      </rPr>
      <t>st</t>
    </r>
    <r>
      <rPr>
        <vertAlign val="superscript"/>
        <sz val="10"/>
        <rFont val="Times New Roman"/>
        <family val="1"/>
      </rPr>
      <t>2</t>
    </r>
    <r>
      <rPr>
        <sz val="10"/>
        <rFont val="Times New Roman"/>
        <family val="1"/>
      </rPr>
      <t xml:space="preserve"> )</t>
    </r>
    <r>
      <rPr>
        <vertAlign val="superscript"/>
        <sz val="10"/>
        <rFont val="Times New Roman"/>
        <family val="1"/>
      </rPr>
      <t>n</t>
    </r>
    <r>
      <rPr>
        <sz val="10"/>
        <rFont val="Times New Roman"/>
        <family val="1"/>
      </rPr>
      <t>/(T</t>
    </r>
    <r>
      <rPr>
        <vertAlign val="subscript"/>
        <sz val="10"/>
        <rFont val="Times New Roman"/>
        <family val="1"/>
      </rPr>
      <t>st</t>
    </r>
    <r>
      <rPr>
        <sz val="10"/>
        <rFont val="Times New Roman"/>
        <family val="1"/>
      </rPr>
      <t xml:space="preserve"> a</t>
    </r>
    <r>
      <rPr>
        <vertAlign val="subscript"/>
        <sz val="10"/>
        <rFont val="Times New Roman"/>
        <family val="1"/>
      </rPr>
      <t>fat</t>
    </r>
    <r>
      <rPr>
        <sz val="10"/>
        <rFont val="Times New Roman"/>
        <family val="1"/>
      </rPr>
      <t>)</t>
    </r>
  </si>
  <si>
    <t>Model-Test-Independent Calculation for Case when Prototype N and EI are not adjusted ("nap" stands for Not Adjusted Prototype)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</si>
</sst>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u/>
      <sz val="10"/>
      <name val="Arial"/>
      <family val="2"/>
    </font>
    <font>
      <i/>
      <sz val="10"/>
      <name val="Arial"/>
      <family val="2"/>
    </font>
    <font>
      <sz val="9"/>
      <color indexed="81"/>
      <name val="Tahoma"/>
      <family val="2"/>
    </font>
    <font>
      <b/>
      <sz val="9"/>
      <color indexed="81"/>
      <name val="Tahoma"/>
      <family val="2"/>
    </font>
    <font>
      <sz val="10"/>
      <color rgb="FF000000"/>
      <name val="Arial"/>
      <family val="2"/>
    </font>
    <font>
      <sz val="10"/>
      <name val="Arial"/>
      <family val="2"/>
    </font>
    <font>
      <sz val="8"/>
      <name val="Arial"/>
      <family val="2"/>
    </font>
    <font>
      <sz val="10"/>
      <color rgb="FFFF0000"/>
      <name val="Arial"/>
      <family val="2"/>
    </font>
    <font>
      <sz val="10"/>
      <name val="Times New Roman"/>
      <family val="1"/>
    </font>
    <font>
      <vertAlign val="superscript"/>
      <sz val="10"/>
      <name val="Times New Roman"/>
      <family val="1"/>
    </font>
    <font>
      <vertAlign val="subscript"/>
      <sz val="10"/>
      <name val="Times New Roman"/>
      <family val="1"/>
    </font>
    <font>
      <sz val="12"/>
      <color rgb="FF0070C0"/>
      <name val="Arial"/>
      <family val="2"/>
    </font>
    <font>
      <i/>
      <sz val="10"/>
      <color rgb="FF0070C0"/>
      <name val="Arial"/>
      <family val="2"/>
    </font>
    <font>
      <i/>
      <sz val="8"/>
      <color rgb="FF0070C0"/>
      <name val="Arial"/>
      <family val="2"/>
    </font>
    <font>
      <sz val="12"/>
      <color theme="4"/>
      <name val="Arial"/>
      <family val="2"/>
    </font>
    <font>
      <i/>
      <sz val="10"/>
      <color theme="4"/>
      <name val="Arial"/>
      <family val="2"/>
    </font>
    <font>
      <sz val="10"/>
      <color rgb="FF0070C0"/>
      <name val="Arial"/>
      <family val="2"/>
    </font>
    <font>
      <b/>
      <u/>
      <sz val="10"/>
      <color indexed="12"/>
      <name val="Arial"/>
      <family val="2"/>
    </font>
    <font>
      <i/>
      <sz val="10"/>
      <color indexed="12"/>
      <name val="Arial"/>
      <family val="2"/>
    </font>
    <font>
      <b/>
      <u/>
      <sz val="11"/>
      <color indexed="12"/>
      <name val="Calibri"/>
      <family val="2"/>
      <scheme val="minor"/>
    </font>
    <font>
      <i/>
      <sz val="11"/>
      <color indexed="12"/>
      <name val="Calibri"/>
      <family val="2"/>
      <scheme val="minor"/>
    </font>
    <font>
      <sz val="10"/>
      <color rgb="FF00B050"/>
      <name val="Arial"/>
      <family val="2"/>
    </font>
    <font>
      <sz val="11"/>
      <name val="Calibri"/>
      <family val="2"/>
    </font>
    <font>
      <sz val="11"/>
      <color indexed="12"/>
      <name val="Calibri"/>
      <family val="2"/>
      <scheme val="minor"/>
    </font>
    <font>
      <sz val="8"/>
      <color rgb="FFFF0000"/>
      <name val="Arial"/>
      <family val="2"/>
    </font>
    <font>
      <sz val="9"/>
      <color rgb="FF000000"/>
      <name val="Calibri"/>
      <family val="2"/>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right style="medium">
        <color indexed="64"/>
      </right>
      <top/>
      <bottom/>
      <diagonal/>
    </border>
    <border>
      <left style="medium">
        <color indexed="64"/>
      </left>
      <right style="medium">
        <color indexed="64"/>
      </right>
      <top style="medium">
        <color rgb="FF000000"/>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6" fillId="0" borderId="0"/>
    <xf numFmtId="0" fontId="5" fillId="0" borderId="0"/>
    <xf numFmtId="0" fontId="4" fillId="0" borderId="0"/>
  </cellStyleXfs>
  <cellXfs count="101">
    <xf numFmtId="0" fontId="0" fillId="0" borderId="0" xfId="0"/>
    <xf numFmtId="0" fontId="0" fillId="0" borderId="0" xfId="0" applyAlignment="1">
      <alignment vertical="top" wrapText="1"/>
    </xf>
    <xf numFmtId="0" fontId="7" fillId="0" borderId="0" xfId="0" applyFont="1" applyAlignment="1">
      <alignment vertical="top"/>
    </xf>
    <xf numFmtId="0" fontId="8" fillId="0" borderId="0" xfId="0" applyFont="1" applyAlignment="1">
      <alignment vertical="top"/>
    </xf>
    <xf numFmtId="0" fontId="12" fillId="0" borderId="0" xfId="0" applyFont="1" applyAlignment="1">
      <alignment vertical="top" wrapText="1"/>
    </xf>
    <xf numFmtId="0" fontId="12" fillId="0" borderId="0" xfId="0" applyFont="1"/>
    <xf numFmtId="0" fontId="13" fillId="0" borderId="0" xfId="0" applyFont="1" applyAlignment="1">
      <alignment horizontal="center" vertical="center" wrapText="1"/>
    </xf>
    <xf numFmtId="0" fontId="13" fillId="0" borderId="0" xfId="0" applyFont="1" applyAlignment="1">
      <alignment horizontal="left" vertical="center" wrapText="1"/>
    </xf>
    <xf numFmtId="0" fontId="14" fillId="0" borderId="0" xfId="0" applyFont="1"/>
    <xf numFmtId="0" fontId="12" fillId="0" borderId="0" xfId="0" applyFont="1" applyAlignment="1">
      <alignment horizontal="center"/>
    </xf>
    <xf numFmtId="0" fontId="0" fillId="0" borderId="0" xfId="0" applyAlignment="1">
      <alignment horizontal="center"/>
    </xf>
    <xf numFmtId="0" fontId="15" fillId="0" borderId="0" xfId="0" applyFont="1"/>
    <xf numFmtId="0" fontId="15" fillId="0" borderId="0" xfId="0" applyFont="1" applyAlignment="1">
      <alignment vertical="center"/>
    </xf>
    <xf numFmtId="0" fontId="18" fillId="0" borderId="0" xfId="0" applyFont="1"/>
    <xf numFmtId="0" fontId="19" fillId="0" borderId="0" xfId="0" applyFont="1"/>
    <xf numFmtId="0" fontId="18" fillId="0" borderId="0" xfId="0" applyFont="1" applyAlignment="1">
      <alignment horizontal="center" vertical="center" wrapText="1"/>
    </xf>
    <xf numFmtId="0" fontId="20" fillId="0" borderId="0" xfId="0" applyFont="1" applyAlignment="1">
      <alignment horizontal="center" vertical="center" wrapText="1"/>
    </xf>
    <xf numFmtId="11" fontId="0" fillId="0" borderId="0" xfId="0" applyNumberFormat="1"/>
    <xf numFmtId="11" fontId="12" fillId="0" borderId="0" xfId="0" applyNumberFormat="1" applyFont="1"/>
    <xf numFmtId="0" fontId="0" fillId="2" borderId="0" xfId="0" applyFill="1" applyAlignment="1">
      <alignment horizontal="center"/>
    </xf>
    <xf numFmtId="0" fontId="0" fillId="2" borderId="0" xfId="0" applyFill="1"/>
    <xf numFmtId="0" fontId="0" fillId="0" borderId="0" xfId="0" applyNumberFormat="1" applyAlignment="1">
      <alignment horizontal="center"/>
    </xf>
    <xf numFmtId="0" fontId="12" fillId="0" borderId="0" xfId="0" applyFont="1" applyAlignment="1">
      <alignment horizontal="left"/>
    </xf>
    <xf numFmtId="0" fontId="0" fillId="0" borderId="0" xfId="0" applyAlignment="1">
      <alignment horizontal="left"/>
    </xf>
    <xf numFmtId="0" fontId="21" fillId="0" borderId="0" xfId="0" applyFont="1"/>
    <xf numFmtId="0" fontId="22" fillId="0" borderId="0" xfId="0" applyFont="1"/>
    <xf numFmtId="0" fontId="23" fillId="0" borderId="0" xfId="0" applyFont="1" applyAlignment="1">
      <alignment horizontal="center"/>
    </xf>
    <xf numFmtId="0" fontId="23" fillId="0" borderId="0" xfId="0" applyNumberFormat="1" applyFont="1" applyAlignment="1">
      <alignment horizontal="center"/>
    </xf>
    <xf numFmtId="0" fontId="12" fillId="0" borderId="1" xfId="0" applyFont="1" applyBorder="1" applyAlignment="1">
      <alignment horizontal="centerContinuous"/>
    </xf>
    <xf numFmtId="0" fontId="0" fillId="0" borderId="2" xfId="0" applyBorder="1" applyAlignment="1">
      <alignment horizontal="centerContinuous"/>
    </xf>
    <xf numFmtId="0" fontId="12" fillId="0" borderId="2" xfId="0" applyFont="1" applyBorder="1" applyAlignment="1">
      <alignment horizontal="centerContinuous"/>
    </xf>
    <xf numFmtId="0" fontId="0" fillId="0" borderId="3" xfId="0" applyBorder="1" applyAlignment="1">
      <alignment horizontal="centerContinuous"/>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20" fontId="0" fillId="0" borderId="0" xfId="0" applyNumberFormat="1"/>
    <xf numFmtId="10" fontId="23" fillId="0" borderId="0" xfId="0" applyNumberFormat="1" applyFont="1" applyAlignment="1">
      <alignment horizontal="center"/>
    </xf>
    <xf numFmtId="0" fontId="23" fillId="0" borderId="0" xfId="0" applyFont="1" applyBorder="1" applyAlignment="1">
      <alignment horizontal="center"/>
    </xf>
    <xf numFmtId="0" fontId="12" fillId="0" borderId="0" xfId="0" applyFont="1" applyFill="1" applyBorder="1"/>
    <xf numFmtId="0" fontId="0" fillId="0" borderId="0" xfId="0" applyNumberFormat="1" applyAlignment="1">
      <alignment horizontal="left"/>
    </xf>
    <xf numFmtId="0" fontId="24" fillId="0" borderId="0" xfId="0" applyFont="1"/>
    <xf numFmtId="0" fontId="25" fillId="0" borderId="0" xfId="0" applyFont="1"/>
    <xf numFmtId="0" fontId="26" fillId="0" borderId="0" xfId="3" applyFont="1"/>
    <xf numFmtId="0" fontId="27" fillId="0" borderId="0" xfId="3" applyFont="1"/>
    <xf numFmtId="0" fontId="4" fillId="0" borderId="0" xfId="3" applyAlignment="1">
      <alignment horizontal="left"/>
    </xf>
    <xf numFmtId="0" fontId="4" fillId="2" borderId="0" xfId="3" applyFill="1" applyAlignment="1">
      <alignment horizontal="left"/>
    </xf>
    <xf numFmtId="0" fontId="28" fillId="0" borderId="7" xfId="0" applyFont="1" applyBorder="1" applyAlignment="1">
      <alignment horizontal="center"/>
    </xf>
    <xf numFmtId="0" fontId="28" fillId="0" borderId="8" xfId="0" applyFont="1" applyBorder="1" applyAlignment="1">
      <alignment horizontal="center"/>
    </xf>
    <xf numFmtId="0" fontId="12" fillId="0" borderId="7" xfId="0" applyFont="1" applyBorder="1"/>
    <xf numFmtId="0" fontId="12" fillId="0" borderId="9" xfId="0" applyFont="1" applyBorder="1"/>
    <xf numFmtId="0" fontId="12" fillId="0" borderId="8" xfId="0" applyFont="1" applyBorder="1"/>
    <xf numFmtId="0" fontId="28" fillId="0" borderId="0" xfId="0" applyFont="1" applyAlignment="1">
      <alignment horizontal="center"/>
    </xf>
    <xf numFmtId="0" fontId="15" fillId="0" borderId="0" xfId="0" applyFont="1" applyAlignment="1">
      <alignment vertical="center" wrapText="1"/>
    </xf>
    <xf numFmtId="0" fontId="29" fillId="0" borderId="0" xfId="0" applyFont="1"/>
    <xf numFmtId="0" fontId="12" fillId="0" borderId="0" xfId="0" applyFont="1" applyBorder="1" applyAlignment="1">
      <alignment horizontal="center"/>
    </xf>
    <xf numFmtId="0" fontId="12" fillId="0" borderId="4" xfId="0" applyFont="1" applyBorder="1"/>
    <xf numFmtId="0" fontId="23" fillId="0" borderId="5" xfId="0" applyFont="1" applyBorder="1" applyAlignment="1">
      <alignment horizontal="center"/>
    </xf>
    <xf numFmtId="0" fontId="12" fillId="0" borderId="6" xfId="0" applyFont="1" applyBorder="1"/>
    <xf numFmtId="0" fontId="3" fillId="0" borderId="0" xfId="3" applyFont="1" applyAlignment="1">
      <alignment horizontal="left"/>
    </xf>
    <xf numFmtId="0" fontId="30" fillId="0" borderId="0" xfId="3" applyFont="1" applyAlignment="1">
      <alignment horizontal="left"/>
    </xf>
    <xf numFmtId="0" fontId="30" fillId="2" borderId="0" xfId="3" applyFont="1" applyFill="1" applyAlignment="1">
      <alignment horizontal="left"/>
    </xf>
    <xf numFmtId="0" fontId="23" fillId="0" borderId="7" xfId="0" applyFont="1" applyBorder="1" applyAlignment="1">
      <alignment horizontal="center"/>
    </xf>
    <xf numFmtId="0" fontId="23" fillId="0" borderId="8" xfId="0" applyFont="1" applyBorder="1" applyAlignment="1">
      <alignment horizontal="center"/>
    </xf>
    <xf numFmtId="0" fontId="2" fillId="0" borderId="0" xfId="3" applyFont="1" applyAlignment="1">
      <alignment horizontal="left"/>
    </xf>
    <xf numFmtId="16" fontId="12" fillId="0" borderId="0" xfId="0" quotePrefix="1" applyNumberFormat="1" applyFont="1"/>
    <xf numFmtId="0" fontId="12" fillId="0" borderId="0" xfId="0" quotePrefix="1" applyFont="1"/>
    <xf numFmtId="0" fontId="21" fillId="0" borderId="0" xfId="0" quotePrefix="1" applyFont="1"/>
    <xf numFmtId="164" fontId="0" fillId="0" borderId="0" xfId="0" applyNumberFormat="1"/>
    <xf numFmtId="10" fontId="0" fillId="0" borderId="0" xfId="0" applyNumberFormat="1" applyAlignment="1">
      <alignment horizontal="center"/>
    </xf>
    <xf numFmtId="0" fontId="31" fillId="0" borderId="0" xfId="0" applyFont="1" applyAlignment="1">
      <alignment horizontal="center"/>
    </xf>
    <xf numFmtId="11" fontId="31" fillId="0" borderId="0" xfId="0" applyNumberFormat="1" applyFont="1" applyAlignment="1">
      <alignment horizontal="center"/>
    </xf>
    <xf numFmtId="0" fontId="31" fillId="0" borderId="0" xfId="0" applyFont="1"/>
    <xf numFmtId="0" fontId="14" fillId="0" borderId="0" xfId="0" applyFont="1" applyAlignment="1">
      <alignment horizontal="center"/>
    </xf>
    <xf numFmtId="0" fontId="1" fillId="0" borderId="0" xfId="0" applyFont="1"/>
    <xf numFmtId="0" fontId="32" fillId="0" borderId="3" xfId="0" applyFont="1" applyBorder="1" applyAlignment="1">
      <alignment horizontal="center" vertical="center"/>
    </xf>
    <xf numFmtId="0" fontId="32" fillId="0" borderId="11" xfId="0" applyFont="1" applyBorder="1" applyAlignment="1">
      <alignment horizontal="center" vertical="center"/>
    </xf>
    <xf numFmtId="0" fontId="32" fillId="0" borderId="13" xfId="0" applyFont="1" applyBorder="1" applyAlignment="1">
      <alignment vertical="center" wrapText="1"/>
    </xf>
    <xf numFmtId="0" fontId="0" fillId="0" borderId="13" xfId="0" applyBorder="1" applyAlignment="1">
      <alignment vertical="center" wrapText="1"/>
    </xf>
    <xf numFmtId="0" fontId="32" fillId="0" borderId="11" xfId="0" applyFont="1" applyBorder="1" applyAlignment="1">
      <alignment vertical="center" wrapText="1"/>
    </xf>
    <xf numFmtId="0" fontId="32" fillId="0" borderId="8" xfId="0" applyFont="1" applyBorder="1" applyAlignment="1">
      <alignment vertical="center"/>
    </xf>
    <xf numFmtId="0" fontId="32" fillId="0" borderId="11" xfId="0" applyFont="1" applyBorder="1" applyAlignment="1">
      <alignment horizontal="center" vertical="center" wrapText="1"/>
    </xf>
    <xf numFmtId="0" fontId="32" fillId="0" borderId="0" xfId="0" applyFont="1" applyFill="1" applyBorder="1" applyAlignment="1">
      <alignment horizontal="center" vertical="center"/>
    </xf>
    <xf numFmtId="0" fontId="32" fillId="0" borderId="10" xfId="0" applyFont="1" applyBorder="1" applyAlignment="1">
      <alignment horizontal="center" vertical="center"/>
    </xf>
    <xf numFmtId="0" fontId="32" fillId="0" borderId="8" xfId="0" applyFont="1" applyBorder="1" applyAlignment="1">
      <alignment horizontal="center" vertical="center"/>
    </xf>
    <xf numFmtId="0" fontId="32" fillId="0" borderId="16" xfId="0" applyFont="1" applyBorder="1" applyAlignment="1">
      <alignment horizontal="center" vertical="center"/>
    </xf>
    <xf numFmtId="0" fontId="32" fillId="0" borderId="17" xfId="0" applyFont="1" applyBorder="1" applyAlignment="1">
      <alignment horizontal="center" vertical="center"/>
    </xf>
    <xf numFmtId="0" fontId="32" fillId="0" borderId="18" xfId="0" applyFont="1" applyBorder="1" applyAlignment="1">
      <alignment horizontal="center" vertical="center"/>
    </xf>
    <xf numFmtId="0" fontId="13" fillId="0" borderId="0" xfId="0" applyFont="1" applyAlignment="1">
      <alignment horizontal="center"/>
    </xf>
    <xf numFmtId="0" fontId="32" fillId="0" borderId="7" xfId="0" applyFont="1" applyBorder="1" applyAlignment="1">
      <alignment horizontal="center" vertical="center"/>
    </xf>
    <xf numFmtId="0" fontId="32" fillId="0" borderId="8" xfId="0" applyFont="1" applyBorder="1" applyAlignment="1">
      <alignment horizontal="center" vertical="center"/>
    </xf>
    <xf numFmtId="0" fontId="32" fillId="0" borderId="1" xfId="0" applyFont="1" applyBorder="1" applyAlignment="1">
      <alignment horizontal="center" vertical="center"/>
    </xf>
    <xf numFmtId="0" fontId="32" fillId="0" borderId="3" xfId="0" applyFont="1" applyBorder="1" applyAlignment="1">
      <alignment horizontal="center" vertical="center"/>
    </xf>
    <xf numFmtId="0" fontId="32" fillId="0" borderId="14" xfId="0" applyFont="1" applyBorder="1" applyAlignment="1">
      <alignment vertical="center"/>
    </xf>
    <xf numFmtId="0" fontId="32" fillId="0" borderId="9" xfId="0" applyFont="1" applyBorder="1" applyAlignment="1">
      <alignment vertical="center"/>
    </xf>
    <xf numFmtId="0" fontId="32" fillId="0" borderId="8" xfId="0" applyFont="1" applyBorder="1" applyAlignment="1">
      <alignment vertical="center"/>
    </xf>
    <xf numFmtId="0" fontId="32" fillId="0" borderId="14" xfId="0" applyFont="1" applyBorder="1" applyAlignment="1">
      <alignment horizontal="center" vertical="center"/>
    </xf>
    <xf numFmtId="0" fontId="32" fillId="0" borderId="9" xfId="0" applyFont="1" applyBorder="1" applyAlignment="1">
      <alignment horizontal="center" vertical="center"/>
    </xf>
    <xf numFmtId="0" fontId="32" fillId="0" borderId="7" xfId="0" applyFont="1" applyBorder="1" applyAlignment="1">
      <alignment vertical="center"/>
    </xf>
    <xf numFmtId="0" fontId="32" fillId="0" borderId="12" xfId="0" applyFont="1" applyBorder="1" applyAlignment="1">
      <alignment vertical="center"/>
    </xf>
    <xf numFmtId="0" fontId="32" fillId="0" borderId="12" xfId="0" applyFont="1" applyBorder="1" applyAlignment="1">
      <alignment horizontal="center" vertical="center"/>
    </xf>
    <xf numFmtId="0" fontId="32" fillId="0" borderId="15" xfId="0" applyFont="1" applyBorder="1" applyAlignment="1">
      <alignment horizontal="center" vertical="center"/>
    </xf>
  </cellXfs>
  <cellStyles count="4">
    <cellStyle name="Normal" xfId="0" builtinId="0"/>
    <cellStyle name="Normal 2" xfId="1" xr:uid="{E6FFCE09-D70F-4853-911C-DCB9CBA46AF2}"/>
    <cellStyle name="Normal 3" xfId="2" xr:uid="{C2D42B74-756B-42DA-9AB0-78117DFAB4E7}"/>
    <cellStyle name="Normal 4" xfId="3" xr:uid="{A4AC2979-C2D4-4524-A035-FD942D9DB3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6/relationships/vbaProject" Target="vbaProject.bin"/><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3.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4.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5.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6.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7.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8.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9.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1.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2.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3.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4.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5.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6.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7.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8.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9.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48.xml"/><Relationship Id="rId1" Type="http://schemas.microsoft.com/office/2011/relationships/chartStyle" Target="style48.xml"/></Relationships>
</file>

<file path=xl/charts/_rels/chart50.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1.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2.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3.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4.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5.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accent1"/>
              </a:solidFill>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'c'!$D$277:$D$387</c:f>
              <c:numCache>
                <c:formatCode>General</c:formatCode>
                <c:ptCount val="111"/>
                <c:pt idx="0">
                  <c:v>1.0000000001</c:v>
                </c:pt>
                <c:pt idx="1">
                  <c:v>1.002</c:v>
                </c:pt>
                <c:pt idx="2">
                  <c:v>1.004</c:v>
                </c:pt>
                <c:pt idx="3">
                  <c:v>1.006</c:v>
                </c:pt>
                <c:pt idx="4">
                  <c:v>1.008</c:v>
                </c:pt>
                <c:pt idx="5">
                  <c:v>1.01</c:v>
                </c:pt>
                <c:pt idx="6">
                  <c:v>1.012</c:v>
                </c:pt>
                <c:pt idx="7">
                  <c:v>1.014</c:v>
                </c:pt>
                <c:pt idx="8">
                  <c:v>1.016</c:v>
                </c:pt>
                <c:pt idx="9">
                  <c:v>1.018</c:v>
                </c:pt>
                <c:pt idx="10">
                  <c:v>1.02</c:v>
                </c:pt>
                <c:pt idx="11">
                  <c:v>1.0212835435542127</c:v>
                </c:pt>
                <c:pt idx="12">
                  <c:v>1.0425670870084254</c:v>
                </c:pt>
                <c:pt idx="13">
                  <c:v>1.0638506304626381</c:v>
                </c:pt>
                <c:pt idx="14">
                  <c:v>1.0851341739168507</c:v>
                </c:pt>
                <c:pt idx="15">
                  <c:v>1.1064177173710634</c:v>
                </c:pt>
                <c:pt idx="16">
                  <c:v>1.1277012608252761</c:v>
                </c:pt>
                <c:pt idx="17">
                  <c:v>1.1489848042794888</c:v>
                </c:pt>
                <c:pt idx="18">
                  <c:v>1.1702683477337015</c:v>
                </c:pt>
                <c:pt idx="19">
                  <c:v>1.1915518911879142</c:v>
                </c:pt>
                <c:pt idx="20">
                  <c:v>1.2128354346421268</c:v>
                </c:pt>
                <c:pt idx="21">
                  <c:v>1.4256708691842535</c:v>
                </c:pt>
                <c:pt idx="22">
                  <c:v>1.6385063037263801</c:v>
                </c:pt>
                <c:pt idx="23">
                  <c:v>1.8513417382685067</c:v>
                </c:pt>
                <c:pt idx="24">
                  <c:v>2.0641771728106333</c:v>
                </c:pt>
                <c:pt idx="25">
                  <c:v>2.2770126073527601</c:v>
                </c:pt>
                <c:pt idx="26">
                  <c:v>2.489848041894887</c:v>
                </c:pt>
                <c:pt idx="27">
                  <c:v>2.7026834764370138</c:v>
                </c:pt>
                <c:pt idx="28">
                  <c:v>2.9155189109791406</c:v>
                </c:pt>
                <c:pt idx="29">
                  <c:v>3.1283543455212675</c:v>
                </c:pt>
                <c:pt idx="30">
                  <c:v>3.3411897800633943</c:v>
                </c:pt>
                <c:pt idx="31">
                  <c:v>3.5540252146055211</c:v>
                </c:pt>
                <c:pt idx="32">
                  <c:v>3.766860649147648</c:v>
                </c:pt>
                <c:pt idx="33">
                  <c:v>3.9796960836897748</c:v>
                </c:pt>
                <c:pt idx="34">
                  <c:v>4.1925315182319016</c:v>
                </c:pt>
                <c:pt idx="35">
                  <c:v>4.4053669527740285</c:v>
                </c:pt>
                <c:pt idx="36">
                  <c:v>4.6182023873161553</c:v>
                </c:pt>
                <c:pt idx="37">
                  <c:v>4.8310378218582821</c:v>
                </c:pt>
                <c:pt idx="38">
                  <c:v>5.043873256400409</c:v>
                </c:pt>
                <c:pt idx="39">
                  <c:v>5.2567086909425358</c:v>
                </c:pt>
                <c:pt idx="40">
                  <c:v>5.4695441254846626</c:v>
                </c:pt>
                <c:pt idx="41">
                  <c:v>5.6823795600267895</c:v>
                </c:pt>
                <c:pt idx="42">
                  <c:v>5.8952149945689163</c:v>
                </c:pt>
                <c:pt idx="43">
                  <c:v>6.1080504291110431</c:v>
                </c:pt>
                <c:pt idx="44">
                  <c:v>6.32088586365317</c:v>
                </c:pt>
                <c:pt idx="45">
                  <c:v>6.5337212981952968</c:v>
                </c:pt>
                <c:pt idx="46">
                  <c:v>6.7465567327374236</c:v>
                </c:pt>
                <c:pt idx="47">
                  <c:v>6.9593921672795505</c:v>
                </c:pt>
                <c:pt idx="48">
                  <c:v>7.1722276018216773</c:v>
                </c:pt>
                <c:pt idx="49">
                  <c:v>7.3850630363638041</c:v>
                </c:pt>
                <c:pt idx="50">
                  <c:v>7.597898470905931</c:v>
                </c:pt>
                <c:pt idx="51">
                  <c:v>7.8107339054480578</c:v>
                </c:pt>
                <c:pt idx="52">
                  <c:v>8.0235693399901837</c:v>
                </c:pt>
                <c:pt idx="53">
                  <c:v>8.2364047745323106</c:v>
                </c:pt>
                <c:pt idx="54">
                  <c:v>8.4492402090744374</c:v>
                </c:pt>
                <c:pt idx="55">
                  <c:v>8.6620756436165642</c:v>
                </c:pt>
                <c:pt idx="56">
                  <c:v>8.8749110781586911</c:v>
                </c:pt>
                <c:pt idx="57">
                  <c:v>9.0877465127008179</c:v>
                </c:pt>
                <c:pt idx="58">
                  <c:v>9.3005819472429447</c:v>
                </c:pt>
                <c:pt idx="59">
                  <c:v>9.5134173817850716</c:v>
                </c:pt>
                <c:pt idx="60">
                  <c:v>9.7262528163271984</c:v>
                </c:pt>
                <c:pt idx="61">
                  <c:v>9.9390882508693252</c:v>
                </c:pt>
                <c:pt idx="62">
                  <c:v>10.151923685411452</c:v>
                </c:pt>
                <c:pt idx="63">
                  <c:v>10.364759119953579</c:v>
                </c:pt>
                <c:pt idx="64">
                  <c:v>10.577594554495706</c:v>
                </c:pt>
                <c:pt idx="65">
                  <c:v>10.790429989037833</c:v>
                </c:pt>
                <c:pt idx="66">
                  <c:v>11.003265423579959</c:v>
                </c:pt>
                <c:pt idx="67">
                  <c:v>11.216100858122086</c:v>
                </c:pt>
                <c:pt idx="68">
                  <c:v>11.428936292664213</c:v>
                </c:pt>
                <c:pt idx="69">
                  <c:v>11.64177172720634</c:v>
                </c:pt>
                <c:pt idx="70">
                  <c:v>11.854607161748467</c:v>
                </c:pt>
                <c:pt idx="71">
                  <c:v>12.067442596290594</c:v>
                </c:pt>
                <c:pt idx="72">
                  <c:v>12.28027803083272</c:v>
                </c:pt>
                <c:pt idx="73">
                  <c:v>12.493113465374847</c:v>
                </c:pt>
                <c:pt idx="74">
                  <c:v>12.705948899916974</c:v>
                </c:pt>
                <c:pt idx="75">
                  <c:v>12.918784334459101</c:v>
                </c:pt>
                <c:pt idx="76">
                  <c:v>13.131619769001228</c:v>
                </c:pt>
                <c:pt idx="77">
                  <c:v>13.344455203543355</c:v>
                </c:pt>
                <c:pt idx="78">
                  <c:v>13.557290638085481</c:v>
                </c:pt>
                <c:pt idx="79">
                  <c:v>13.770126072627608</c:v>
                </c:pt>
                <c:pt idx="80">
                  <c:v>13.982961507169735</c:v>
                </c:pt>
                <c:pt idx="81">
                  <c:v>14.195796941711862</c:v>
                </c:pt>
                <c:pt idx="82">
                  <c:v>14.408632376253989</c:v>
                </c:pt>
                <c:pt idx="83">
                  <c:v>14.621467810796116</c:v>
                </c:pt>
                <c:pt idx="84">
                  <c:v>14.834303245338242</c:v>
                </c:pt>
                <c:pt idx="85">
                  <c:v>15.047138679880369</c:v>
                </c:pt>
                <c:pt idx="86">
                  <c:v>15.259974114422496</c:v>
                </c:pt>
                <c:pt idx="87">
                  <c:v>15.472809548964623</c:v>
                </c:pt>
                <c:pt idx="88">
                  <c:v>15.68564498350675</c:v>
                </c:pt>
                <c:pt idx="89">
                  <c:v>15.898480418048877</c:v>
                </c:pt>
                <c:pt idx="90">
                  <c:v>16.111315852591002</c:v>
                </c:pt>
                <c:pt idx="91">
                  <c:v>16.324151287133127</c:v>
                </c:pt>
                <c:pt idx="92">
                  <c:v>16.536986721675252</c:v>
                </c:pt>
                <c:pt idx="93">
                  <c:v>16.749822156217377</c:v>
                </c:pt>
                <c:pt idx="94">
                  <c:v>16.962657590759502</c:v>
                </c:pt>
                <c:pt idx="95">
                  <c:v>17.175493025301627</c:v>
                </c:pt>
                <c:pt idx="96">
                  <c:v>17.388328459843752</c:v>
                </c:pt>
                <c:pt idx="97">
                  <c:v>17.601163894385877</c:v>
                </c:pt>
                <c:pt idx="98">
                  <c:v>17.813999328928002</c:v>
                </c:pt>
                <c:pt idx="99">
                  <c:v>18.026834763470127</c:v>
                </c:pt>
                <c:pt idx="100">
                  <c:v>18.239670198012252</c:v>
                </c:pt>
                <c:pt idx="101">
                  <c:v>18.452505632554377</c:v>
                </c:pt>
                <c:pt idx="102">
                  <c:v>18.878176501638631</c:v>
                </c:pt>
                <c:pt idx="103">
                  <c:v>19.303847370722885</c:v>
                </c:pt>
                <c:pt idx="104">
                  <c:v>19.729518239807138</c:v>
                </c:pt>
                <c:pt idx="105">
                  <c:v>20.155189108891392</c:v>
                </c:pt>
                <c:pt idx="106">
                  <c:v>20.580859977975646</c:v>
                </c:pt>
                <c:pt idx="107">
                  <c:v>21.006530847059899</c:v>
                </c:pt>
                <c:pt idx="108">
                  <c:v>21.432201716144153</c:v>
                </c:pt>
                <c:pt idx="109">
                  <c:v>21.857872585228407</c:v>
                </c:pt>
                <c:pt idx="110">
                  <c:v>22.28354345431266</c:v>
                </c:pt>
              </c:numCache>
            </c:numRef>
          </c:yVal>
          <c:smooth val="0"/>
          <c:extLst>
            <c:ext xmlns:c16="http://schemas.microsoft.com/office/drawing/2014/chart" uri="{C3380CC4-5D6E-409C-BE32-E72D297353CC}">
              <c16:uniqueId val="{00000000-10F5-4154-913A-D22586ED1690}"/>
            </c:ext>
          </c:extLst>
        </c:ser>
        <c:dLbls>
          <c:showLegendKey val="0"/>
          <c:showVal val="0"/>
          <c:showCatName val="0"/>
          <c:showSerName val="0"/>
          <c:showPercent val="0"/>
          <c:showBubbleSize val="0"/>
        </c:dLbls>
        <c:axId val="631744552"/>
        <c:axId val="631743896"/>
      </c:scatterChart>
      <c:valAx>
        <c:axId val="631744552"/>
        <c:scaling>
          <c:orientation val="minMax"/>
          <c:max val="1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a:t>Current Velocity, Uc (m/s)</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31743896"/>
        <c:crosses val="autoZero"/>
        <c:crossBetween val="midCat"/>
      </c:valAx>
      <c:valAx>
        <c:axId val="631743896"/>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a:t>Prototype Effective Axial Force (MN)</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31744552"/>
        <c:crosses val="autoZero"/>
        <c:crossBetween val="midCat"/>
      </c:valAx>
      <c:spPr>
        <a:noFill/>
        <a:ln w="12700">
          <a:solidFill>
            <a:srgbClr val="808080"/>
          </a:solidFill>
          <a:prstDash val="solid"/>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m!$AF$115:$AO$115</c:f>
              <c:numCache>
                <c:formatCode>General</c:formatCode>
                <c:ptCount val="10"/>
                <c:pt idx="6">
                  <c:v>2.542277898540422E-2</c:v>
                </c:pt>
                <c:pt idx="7">
                  <c:v>2.877611030299642E-2</c:v>
                </c:pt>
                <c:pt idx="8">
                  <c:v>3.1805617609544853E-2</c:v>
                </c:pt>
                <c:pt idx="9">
                  <c:v>3.5304080228818147E-2</c:v>
                </c:pt>
              </c:numCache>
            </c:numRef>
          </c:xVal>
          <c:yVal>
            <c:numRef>
              <c:f>m!$AF$95:$AO$95</c:f>
              <c:numCache>
                <c:formatCode>General</c:formatCode>
                <c:ptCount val="10"/>
                <c:pt idx="6">
                  <c:v>6.0414806166082506</c:v>
                </c:pt>
                <c:pt idx="7">
                  <c:v>6.1292359928204512</c:v>
                </c:pt>
                <c:pt idx="8">
                  <c:v>5.2848958185987494</c:v>
                </c:pt>
                <c:pt idx="9">
                  <c:v>4.2979154085934459</c:v>
                </c:pt>
              </c:numCache>
            </c:numRef>
          </c:yVal>
          <c:smooth val="0"/>
          <c:extLst>
            <c:ext xmlns:c16="http://schemas.microsoft.com/office/drawing/2014/chart" uri="{C3380CC4-5D6E-409C-BE32-E72D297353CC}">
              <c16:uniqueId val="{00000000-3D6E-43A0-B3B2-71EAEC549AEF}"/>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m!$AP$115:$BL$115</c:f>
              <c:numCache>
                <c:formatCode>General</c:formatCode>
                <c:ptCount val="23"/>
                <c:pt idx="0">
                  <c:v>3.8454470077742331E-2</c:v>
                </c:pt>
                <c:pt idx="1">
                  <c:v>5.475967279407546E-2</c:v>
                </c:pt>
                <c:pt idx="2">
                  <c:v>8.1233507542518305E-2</c:v>
                </c:pt>
                <c:pt idx="3">
                  <c:v>0.1068990318800089</c:v>
                </c:pt>
                <c:pt idx="4">
                  <c:v>0.13300447201852222</c:v>
                </c:pt>
                <c:pt idx="6">
                  <c:v>0.18482502094505188</c:v>
                </c:pt>
                <c:pt idx="12">
                  <c:v>0.310862178769852</c:v>
                </c:pt>
                <c:pt idx="19">
                  <c:v>4.7090779418052633E-2</c:v>
                </c:pt>
                <c:pt idx="20">
                  <c:v>6.8114087230355613E-2</c:v>
                </c:pt>
                <c:pt idx="21">
                  <c:v>5.5136089005367227E-2</c:v>
                </c:pt>
              </c:numCache>
            </c:numRef>
          </c:xVal>
          <c:yVal>
            <c:numRef>
              <c:f>m!$AP$95:$BL$95</c:f>
              <c:numCache>
                <c:formatCode>General</c:formatCode>
                <c:ptCount val="23"/>
                <c:pt idx="0">
                  <c:v>5.0532147082786567</c:v>
                </c:pt>
                <c:pt idx="1">
                  <c:v>3.6133175421953494</c:v>
                </c:pt>
                <c:pt idx="2">
                  <c:v>4.4434942874585293</c:v>
                </c:pt>
                <c:pt idx="3">
                  <c:v>4.9154385147601225</c:v>
                </c:pt>
                <c:pt idx="4">
                  <c:v>5.3963977447979259</c:v>
                </c:pt>
                <c:pt idx="6">
                  <c:v>3.52255142553093</c:v>
                </c:pt>
                <c:pt idx="12">
                  <c:v>4.1401928182528742</c:v>
                </c:pt>
                <c:pt idx="19">
                  <c:v>4.490854651714832</c:v>
                </c:pt>
                <c:pt idx="20">
                  <c:v>4.8959517967458943</c:v>
                </c:pt>
                <c:pt idx="21">
                  <c:v>3.8939295934451761</c:v>
                </c:pt>
              </c:numCache>
            </c:numRef>
          </c:yVal>
          <c:smooth val="0"/>
          <c:extLst>
            <c:ext xmlns:c16="http://schemas.microsoft.com/office/drawing/2014/chart" uri="{C3380CC4-5D6E-409C-BE32-E72D297353CC}">
              <c16:uniqueId val="{00000001-3D6E-43A0-B3B2-71EAEC549AEF}"/>
            </c:ext>
          </c:extLst>
        </c:ser>
        <c:ser>
          <c:idx val="11"/>
          <c:order val="2"/>
          <c:tx>
            <c:v>CF, Pipe 1</c:v>
          </c:tx>
          <c:spPr>
            <a:ln w="25400" cap="rnd">
              <a:noFill/>
              <a:round/>
            </a:ln>
            <a:effectLst/>
          </c:spPr>
          <c:marker>
            <c:symbol val="x"/>
            <c:size val="7"/>
            <c:spPr>
              <a:noFill/>
              <a:ln w="15875">
                <a:solidFill>
                  <a:schemeClr val="accent6"/>
                </a:solidFill>
              </a:ln>
              <a:effectLst/>
            </c:spPr>
          </c:marker>
          <c:xVal>
            <c:numRef>
              <c:f>m!$BM$115:$CO$115</c:f>
              <c:numCache>
                <c:formatCode>General</c:formatCode>
                <c:ptCount val="29"/>
                <c:pt idx="0">
                  <c:v>0.31472065943861044</c:v>
                </c:pt>
                <c:pt idx="1">
                  <c:v>0.64831922641010808</c:v>
                </c:pt>
                <c:pt idx="3">
                  <c:v>0.35140237296238364</c:v>
                </c:pt>
                <c:pt idx="4">
                  <c:v>0.42165607447406339</c:v>
                </c:pt>
                <c:pt idx="5">
                  <c:v>0.49179058935614095</c:v>
                </c:pt>
                <c:pt idx="6">
                  <c:v>0.5622433116293214</c:v>
                </c:pt>
                <c:pt idx="7">
                  <c:v>0.63229803419937047</c:v>
                </c:pt>
                <c:pt idx="8">
                  <c:v>0.70269651610111439</c:v>
                </c:pt>
                <c:pt idx="9">
                  <c:v>0.7730272498134001</c:v>
                </c:pt>
                <c:pt idx="10">
                  <c:v>0.91356225395098345</c:v>
                </c:pt>
                <c:pt idx="11">
                  <c:v>0.98381771189720457</c:v>
                </c:pt>
                <c:pt idx="12">
                  <c:v>1.0541255283207107</c:v>
                </c:pt>
                <c:pt idx="13">
                  <c:v>0.35147932152324962</c:v>
                </c:pt>
                <c:pt idx="14">
                  <c:v>0.70287031948098333</c:v>
                </c:pt>
                <c:pt idx="15">
                  <c:v>0.68521597770560549</c:v>
                </c:pt>
                <c:pt idx="16">
                  <c:v>1.0370326601204345</c:v>
                </c:pt>
                <c:pt idx="17">
                  <c:v>1.1244149440014013</c:v>
                </c:pt>
                <c:pt idx="18">
                  <c:v>1.1946062502669874</c:v>
                </c:pt>
                <c:pt idx="19">
                  <c:v>1.2649229325029412</c:v>
                </c:pt>
              </c:numCache>
            </c:numRef>
          </c:xVal>
          <c:yVal>
            <c:numRef>
              <c:f>m!$BM$95:$CO$95</c:f>
              <c:numCache>
                <c:formatCode>General</c:formatCode>
                <c:ptCount val="29"/>
                <c:pt idx="0">
                  <c:v>10.120470713192889</c:v>
                </c:pt>
                <c:pt idx="1">
                  <c:v>8.9453772336192614</c:v>
                </c:pt>
                <c:pt idx="3">
                  <c:v>10.611578666711525</c:v>
                </c:pt>
                <c:pt idx="4">
                  <c:v>13.484969152564005</c:v>
                </c:pt>
                <c:pt idx="5">
                  <c:v>9.6684949677469909</c:v>
                </c:pt>
                <c:pt idx="6">
                  <c:v>10.056504925363537</c:v>
                </c:pt>
                <c:pt idx="7">
                  <c:v>11.387889643620143</c:v>
                </c:pt>
                <c:pt idx="8">
                  <c:v>9.5704123434084227</c:v>
                </c:pt>
                <c:pt idx="9">
                  <c:v>9.3655475104383363</c:v>
                </c:pt>
                <c:pt idx="10">
                  <c:v>7.9975610372982713</c:v>
                </c:pt>
                <c:pt idx="11">
                  <c:v>8.2532209331067783</c:v>
                </c:pt>
                <c:pt idx="12">
                  <c:v>7.954322186490991</c:v>
                </c:pt>
                <c:pt idx="13">
                  <c:v>10.007795801208351</c:v>
                </c:pt>
                <c:pt idx="14">
                  <c:v>9.8621963860643529</c:v>
                </c:pt>
                <c:pt idx="15">
                  <c:v>9.4519747608689038</c:v>
                </c:pt>
                <c:pt idx="16">
                  <c:v>7.5048349972577322</c:v>
                </c:pt>
                <c:pt idx="17">
                  <c:v>7.5765537722697776</c:v>
                </c:pt>
                <c:pt idx="18">
                  <c:v>6.4600890770907728</c:v>
                </c:pt>
                <c:pt idx="19">
                  <c:v>6.3590149916729768</c:v>
                </c:pt>
              </c:numCache>
            </c:numRef>
          </c:yVal>
          <c:smooth val="0"/>
          <c:extLst>
            <c:ext xmlns:c16="http://schemas.microsoft.com/office/drawing/2014/chart" uri="{C3380CC4-5D6E-409C-BE32-E72D297353CC}">
              <c16:uniqueId val="{00000002-3D6E-43A0-B3B2-71EAEC549AEF}"/>
            </c:ext>
          </c:extLst>
        </c:ser>
        <c:ser>
          <c:idx val="13"/>
          <c:order val="3"/>
          <c:tx>
            <c:v>CF, Pipe 2</c:v>
          </c:tx>
          <c:spPr>
            <a:ln w="25400" cap="rnd">
              <a:noFill/>
              <a:round/>
            </a:ln>
            <a:effectLst/>
          </c:spPr>
          <c:marker>
            <c:symbol val="x"/>
            <c:size val="7"/>
            <c:spPr>
              <a:noFill/>
              <a:ln w="15875">
                <a:solidFill>
                  <a:srgbClr val="00B0F0"/>
                </a:solidFill>
              </a:ln>
              <a:effectLst/>
            </c:spPr>
          </c:marker>
          <c:xVal>
            <c:numRef>
              <c:f>m!$CP$115:$DT$115</c:f>
              <c:numCache>
                <c:formatCode>General</c:formatCode>
                <c:ptCount val="31"/>
                <c:pt idx="0">
                  <c:v>0.15137629508782466</c:v>
                </c:pt>
                <c:pt idx="1">
                  <c:v>0.18922888986966163</c:v>
                </c:pt>
                <c:pt idx="2">
                  <c:v>0.22716083391694958</c:v>
                </c:pt>
                <c:pt idx="3">
                  <c:v>0.26487104591723021</c:v>
                </c:pt>
                <c:pt idx="4">
                  <c:v>0.30274959501393373</c:v>
                </c:pt>
                <c:pt idx="5">
                  <c:v>0.34061605086371027</c:v>
                </c:pt>
                <c:pt idx="6">
                  <c:v>0.37837913985427862</c:v>
                </c:pt>
                <c:pt idx="7">
                  <c:v>0.41630964262074099</c:v>
                </c:pt>
                <c:pt idx="8">
                  <c:v>0.45408214497670135</c:v>
                </c:pt>
                <c:pt idx="9">
                  <c:v>0.4920403023190042</c:v>
                </c:pt>
                <c:pt idx="10">
                  <c:v>0.52977082737092007</c:v>
                </c:pt>
                <c:pt idx="11">
                  <c:v>0.56770259125810485</c:v>
                </c:pt>
                <c:pt idx="12">
                  <c:v>0.60540992069673427</c:v>
                </c:pt>
                <c:pt idx="14">
                  <c:v>0.60539411164767898</c:v>
                </c:pt>
                <c:pt idx="15">
                  <c:v>0.11352731476805805</c:v>
                </c:pt>
                <c:pt idx="18">
                  <c:v>0.64338348172786031</c:v>
                </c:pt>
                <c:pt idx="19">
                  <c:v>0.71914287696258317</c:v>
                </c:pt>
                <c:pt idx="20">
                  <c:v>0.79464964269260063</c:v>
                </c:pt>
                <c:pt idx="21">
                  <c:v>0.87058496426809329</c:v>
                </c:pt>
                <c:pt idx="22">
                  <c:v>0.94656829851108759</c:v>
                </c:pt>
                <c:pt idx="23">
                  <c:v>7.5680535779552346E-2</c:v>
                </c:pt>
                <c:pt idx="24">
                  <c:v>0.11354057905565579</c:v>
                </c:pt>
                <c:pt idx="25">
                  <c:v>9.0857037082600442E-2</c:v>
                </c:pt>
                <c:pt idx="26">
                  <c:v>0.13625511982646715</c:v>
                </c:pt>
                <c:pt idx="27">
                  <c:v>0.10596009499358042</c:v>
                </c:pt>
                <c:pt idx="28">
                  <c:v>0.56763268913806508</c:v>
                </c:pt>
                <c:pt idx="29">
                  <c:v>0.68121584227810716</c:v>
                </c:pt>
              </c:numCache>
            </c:numRef>
          </c:xVal>
          <c:yVal>
            <c:numRef>
              <c:f>m!$CP$95:$DT$95</c:f>
              <c:numCache>
                <c:formatCode>General</c:formatCode>
                <c:ptCount val="31"/>
                <c:pt idx="0">
                  <c:v>7.230064864592558</c:v>
                </c:pt>
                <c:pt idx="1">
                  <c:v>7.8432795970043863</c:v>
                </c:pt>
                <c:pt idx="2">
                  <c:v>7.1611992718238096</c:v>
                </c:pt>
                <c:pt idx="3">
                  <c:v>8.5921413030732001</c:v>
                </c:pt>
                <c:pt idx="4">
                  <c:v>6.661272134560023</c:v>
                </c:pt>
                <c:pt idx="5">
                  <c:v>7.7435399296450607</c:v>
                </c:pt>
                <c:pt idx="6">
                  <c:v>6.1997981508460969</c:v>
                </c:pt>
                <c:pt idx="7">
                  <c:v>7.7408089896434431</c:v>
                </c:pt>
                <c:pt idx="8">
                  <c:v>8.6625983848095451</c:v>
                </c:pt>
                <c:pt idx="9">
                  <c:v>6.621771797238047</c:v>
                </c:pt>
                <c:pt idx="10">
                  <c:v>6.9659330774762003</c:v>
                </c:pt>
                <c:pt idx="11">
                  <c:v>7.1453382407870949</c:v>
                </c:pt>
                <c:pt idx="12">
                  <c:v>8.4516911292205865</c:v>
                </c:pt>
                <c:pt idx="14">
                  <c:v>6.0778760902500926</c:v>
                </c:pt>
                <c:pt idx="15">
                  <c:v>8.6619524722903734</c:v>
                </c:pt>
                <c:pt idx="18">
                  <c:v>7.3483443733593532</c:v>
                </c:pt>
                <c:pt idx="19">
                  <c:v>8.0072612621981989</c:v>
                </c:pt>
                <c:pt idx="20">
                  <c:v>7.0758839302446521</c:v>
                </c:pt>
                <c:pt idx="21">
                  <c:v>6.8389367669751673</c:v>
                </c:pt>
                <c:pt idx="22">
                  <c:v>6.2031731981670291</c:v>
                </c:pt>
                <c:pt idx="23">
                  <c:v>9.608322876774281</c:v>
                </c:pt>
                <c:pt idx="24">
                  <c:v>8.2080991638713332</c:v>
                </c:pt>
                <c:pt idx="25">
                  <c:v>10.795030638909601</c:v>
                </c:pt>
                <c:pt idx="26">
                  <c:v>9.9406684789797772</c:v>
                </c:pt>
                <c:pt idx="27">
                  <c:v>7.6699085645929568</c:v>
                </c:pt>
                <c:pt idx="28">
                  <c:v>6.1233547438995259</c:v>
                </c:pt>
                <c:pt idx="29">
                  <c:v>6.1359189433264092</c:v>
                </c:pt>
              </c:numCache>
            </c:numRef>
          </c:yVal>
          <c:smooth val="0"/>
          <c:extLst>
            <c:ext xmlns:c16="http://schemas.microsoft.com/office/drawing/2014/chart" uri="{C3380CC4-5D6E-409C-BE32-E72D297353CC}">
              <c16:uniqueId val="{00000003-3D6E-43A0-B3B2-71EAEC549AEF}"/>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m!$DU$115:$DX$115</c:f>
              <c:numCache>
                <c:formatCode>General</c:formatCode>
                <c:ptCount val="4"/>
                <c:pt idx="1">
                  <c:v>0.16255738756844693</c:v>
                </c:pt>
              </c:numCache>
            </c:numRef>
          </c:xVal>
          <c:yVal>
            <c:numRef>
              <c:f>m!$DU$95:$DX$95</c:f>
              <c:numCache>
                <c:formatCode>General</c:formatCode>
                <c:ptCount val="4"/>
                <c:pt idx="1">
                  <c:v>11.627400337732656</c:v>
                </c:pt>
              </c:numCache>
            </c:numRef>
          </c:yVal>
          <c:smooth val="0"/>
          <c:extLst>
            <c:ext xmlns:c16="http://schemas.microsoft.com/office/drawing/2014/chart" uri="{C3380CC4-5D6E-409C-BE32-E72D297353CC}">
              <c16:uniqueId val="{00000004-3D6E-43A0-B3B2-71EAEC549AEF}"/>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m!$DY$115:$EL$115</c:f>
              <c:numCache>
                <c:formatCode>General</c:formatCode>
                <c:ptCount val="14"/>
                <c:pt idx="0">
                  <c:v>8.1280125178106469E-2</c:v>
                </c:pt>
                <c:pt idx="1">
                  <c:v>0.16252382718483896</c:v>
                </c:pt>
                <c:pt idx="2">
                  <c:v>0.1950210333146517</c:v>
                </c:pt>
                <c:pt idx="3">
                  <c:v>0.22757123970445631</c:v>
                </c:pt>
                <c:pt idx="4">
                  <c:v>0.26008442328490894</c:v>
                </c:pt>
                <c:pt idx="5">
                  <c:v>0.29253114376560535</c:v>
                </c:pt>
                <c:pt idx="6">
                  <c:v>0.32513106207810305</c:v>
                </c:pt>
                <c:pt idx="7">
                  <c:v>0.35759844105429994</c:v>
                </c:pt>
                <c:pt idx="8">
                  <c:v>0.35765720557614494</c:v>
                </c:pt>
                <c:pt idx="10">
                  <c:v>0.48766053746583166</c:v>
                </c:pt>
                <c:pt idx="11">
                  <c:v>0.52003711964626154</c:v>
                </c:pt>
                <c:pt idx="13">
                  <c:v>0.39003943595946439</c:v>
                </c:pt>
              </c:numCache>
            </c:numRef>
          </c:xVal>
          <c:yVal>
            <c:numRef>
              <c:f>m!$DY$95:$EL$95</c:f>
              <c:numCache>
                <c:formatCode>General</c:formatCode>
                <c:ptCount val="14"/>
                <c:pt idx="0">
                  <c:v>11.841933921401584</c:v>
                </c:pt>
                <c:pt idx="1">
                  <c:v>10.112716420782542</c:v>
                </c:pt>
                <c:pt idx="2">
                  <c:v>10.75326981223963</c:v>
                </c:pt>
                <c:pt idx="3">
                  <c:v>12.593437950738654</c:v>
                </c:pt>
                <c:pt idx="4">
                  <c:v>9.9708079988168254</c:v>
                </c:pt>
                <c:pt idx="5">
                  <c:v>12.57159489291657</c:v>
                </c:pt>
                <c:pt idx="6">
                  <c:v>11.025393435074347</c:v>
                </c:pt>
                <c:pt idx="7">
                  <c:v>8.8729996804417208</c:v>
                </c:pt>
                <c:pt idx="8">
                  <c:v>12.254596368878824</c:v>
                </c:pt>
                <c:pt idx="10">
                  <c:v>9.2304269063872528</c:v>
                </c:pt>
                <c:pt idx="11">
                  <c:v>10.128045629794443</c:v>
                </c:pt>
                <c:pt idx="13">
                  <c:v>8.7481293899266319</c:v>
                </c:pt>
              </c:numCache>
            </c:numRef>
          </c:yVal>
          <c:smooth val="0"/>
          <c:extLst>
            <c:ext xmlns:c16="http://schemas.microsoft.com/office/drawing/2014/chart" uri="{C3380CC4-5D6E-409C-BE32-E72D297353CC}">
              <c16:uniqueId val="{00000005-3D6E-43A0-B3B2-71EAEC549AEF}"/>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m!$AF$115:$AO$115</c:f>
              <c:numCache>
                <c:formatCode>General</c:formatCode>
                <c:ptCount val="10"/>
                <c:pt idx="6">
                  <c:v>2.542277898540422E-2</c:v>
                </c:pt>
                <c:pt idx="7">
                  <c:v>2.877611030299642E-2</c:v>
                </c:pt>
                <c:pt idx="8">
                  <c:v>3.1805617609544853E-2</c:v>
                </c:pt>
                <c:pt idx="9">
                  <c:v>3.5304080228818147E-2</c:v>
                </c:pt>
              </c:numCache>
            </c:numRef>
          </c:xVal>
          <c:yVal>
            <c:numRef>
              <c:f>m!$AF$96:$AO$96</c:f>
              <c:numCache>
                <c:formatCode>General</c:formatCode>
                <c:ptCount val="10"/>
                <c:pt idx="6">
                  <c:v>4.6527598235675249</c:v>
                </c:pt>
                <c:pt idx="7">
                  <c:v>4.2805274655235781</c:v>
                </c:pt>
                <c:pt idx="8">
                  <c:v>3.4393569277814708</c:v>
                </c:pt>
                <c:pt idx="9">
                  <c:v>3.6129037340831314</c:v>
                </c:pt>
              </c:numCache>
            </c:numRef>
          </c:yVal>
          <c:smooth val="0"/>
          <c:extLst>
            <c:ext xmlns:c16="http://schemas.microsoft.com/office/drawing/2014/chart" uri="{C3380CC4-5D6E-409C-BE32-E72D297353CC}">
              <c16:uniqueId val="{00000006-3D6E-43A0-B3B2-71EAEC549AEF}"/>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m!$AP$115:$BL$115</c:f>
              <c:numCache>
                <c:formatCode>General</c:formatCode>
                <c:ptCount val="23"/>
                <c:pt idx="0">
                  <c:v>3.8454470077742331E-2</c:v>
                </c:pt>
                <c:pt idx="1">
                  <c:v>5.475967279407546E-2</c:v>
                </c:pt>
                <c:pt idx="2">
                  <c:v>8.1233507542518305E-2</c:v>
                </c:pt>
                <c:pt idx="3">
                  <c:v>0.1068990318800089</c:v>
                </c:pt>
                <c:pt idx="4">
                  <c:v>0.13300447201852222</c:v>
                </c:pt>
                <c:pt idx="6">
                  <c:v>0.18482502094505188</c:v>
                </c:pt>
                <c:pt idx="12">
                  <c:v>0.310862178769852</c:v>
                </c:pt>
                <c:pt idx="19">
                  <c:v>4.7090779418052633E-2</c:v>
                </c:pt>
                <c:pt idx="20">
                  <c:v>6.8114087230355613E-2</c:v>
                </c:pt>
                <c:pt idx="21">
                  <c:v>5.5136089005367227E-2</c:v>
                </c:pt>
              </c:numCache>
            </c:numRef>
          </c:xVal>
          <c:yVal>
            <c:numRef>
              <c:f>m!$AP$96:$BL$96</c:f>
              <c:numCache>
                <c:formatCode>General</c:formatCode>
                <c:ptCount val="23"/>
                <c:pt idx="0">
                  <c:v>5.4755784611121161</c:v>
                </c:pt>
                <c:pt idx="1">
                  <c:v>5.1682826595532747</c:v>
                </c:pt>
                <c:pt idx="2">
                  <c:v>3.0985995787371445</c:v>
                </c:pt>
                <c:pt idx="3">
                  <c:v>3.134879815279314</c:v>
                </c:pt>
                <c:pt idx="4">
                  <c:v>3.0033011206407316</c:v>
                </c:pt>
                <c:pt idx="6">
                  <c:v>2.9529997740314693</c:v>
                </c:pt>
                <c:pt idx="12">
                  <c:v>2.536745078640724</c:v>
                </c:pt>
                <c:pt idx="19">
                  <c:v>5.2461545091174413</c:v>
                </c:pt>
                <c:pt idx="20">
                  <c:v>3.8667689214808134</c:v>
                </c:pt>
                <c:pt idx="21">
                  <c:v>5.2126574434788768</c:v>
                </c:pt>
              </c:numCache>
            </c:numRef>
          </c:yVal>
          <c:smooth val="0"/>
          <c:extLst>
            <c:ext xmlns:c16="http://schemas.microsoft.com/office/drawing/2014/chart" uri="{C3380CC4-5D6E-409C-BE32-E72D297353CC}">
              <c16:uniqueId val="{00000007-3D6E-43A0-B3B2-71EAEC549AEF}"/>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m!$BM$115:$CO$115</c:f>
              <c:numCache>
                <c:formatCode>General</c:formatCode>
                <c:ptCount val="29"/>
                <c:pt idx="0">
                  <c:v>0.31472065943861044</c:v>
                </c:pt>
                <c:pt idx="1">
                  <c:v>0.64831922641010808</c:v>
                </c:pt>
                <c:pt idx="3">
                  <c:v>0.35140237296238364</c:v>
                </c:pt>
                <c:pt idx="4">
                  <c:v>0.42165607447406339</c:v>
                </c:pt>
                <c:pt idx="5">
                  <c:v>0.49179058935614095</c:v>
                </c:pt>
                <c:pt idx="6">
                  <c:v>0.5622433116293214</c:v>
                </c:pt>
                <c:pt idx="7">
                  <c:v>0.63229803419937047</c:v>
                </c:pt>
                <c:pt idx="8">
                  <c:v>0.70269651610111439</c:v>
                </c:pt>
                <c:pt idx="9">
                  <c:v>0.7730272498134001</c:v>
                </c:pt>
                <c:pt idx="10">
                  <c:v>0.91356225395098345</c:v>
                </c:pt>
                <c:pt idx="11">
                  <c:v>0.98381771189720457</c:v>
                </c:pt>
                <c:pt idx="12">
                  <c:v>1.0541255283207107</c:v>
                </c:pt>
                <c:pt idx="13">
                  <c:v>0.35147932152324962</c:v>
                </c:pt>
                <c:pt idx="14">
                  <c:v>0.70287031948098333</c:v>
                </c:pt>
                <c:pt idx="15">
                  <c:v>0.68521597770560549</c:v>
                </c:pt>
                <c:pt idx="16">
                  <c:v>1.0370326601204345</c:v>
                </c:pt>
                <c:pt idx="17">
                  <c:v>1.1244149440014013</c:v>
                </c:pt>
                <c:pt idx="18">
                  <c:v>1.1946062502669874</c:v>
                </c:pt>
                <c:pt idx="19">
                  <c:v>1.2649229325029412</c:v>
                </c:pt>
              </c:numCache>
            </c:numRef>
          </c:xVal>
          <c:yVal>
            <c:numRef>
              <c:f>m!$BM$96:$CO$96</c:f>
              <c:numCache>
                <c:formatCode>General</c:formatCode>
                <c:ptCount val="29"/>
                <c:pt idx="0">
                  <c:v>7.7033235890944756</c:v>
                </c:pt>
                <c:pt idx="1">
                  <c:v>9.1444916587946974</c:v>
                </c:pt>
                <c:pt idx="3">
                  <c:v>8.7140648971788437</c:v>
                </c:pt>
                <c:pt idx="4">
                  <c:v>12.927157671770168</c:v>
                </c:pt>
                <c:pt idx="5">
                  <c:v>8.3600761384121469</c:v>
                </c:pt>
                <c:pt idx="6">
                  <c:v>8.9999781210833945</c:v>
                </c:pt>
                <c:pt idx="7">
                  <c:v>11.710147435168425</c:v>
                </c:pt>
                <c:pt idx="8">
                  <c:v>9.6604016799591612</c:v>
                </c:pt>
                <c:pt idx="9">
                  <c:v>8.9844518836473455</c:v>
                </c:pt>
                <c:pt idx="10">
                  <c:v>8.1478940601600911</c:v>
                </c:pt>
                <c:pt idx="11">
                  <c:v>7.9194530647955013</c:v>
                </c:pt>
                <c:pt idx="12">
                  <c:v>8.4688373486197897</c:v>
                </c:pt>
                <c:pt idx="13">
                  <c:v>8.1654266073084845</c:v>
                </c:pt>
                <c:pt idx="14">
                  <c:v>10.157317419596724</c:v>
                </c:pt>
                <c:pt idx="15">
                  <c:v>8.4459765120883326</c:v>
                </c:pt>
                <c:pt idx="16">
                  <c:v>8.8566927659923493</c:v>
                </c:pt>
                <c:pt idx="17">
                  <c:v>7.9864493524762779</c:v>
                </c:pt>
                <c:pt idx="18">
                  <c:v>7.5929751024784267</c:v>
                </c:pt>
                <c:pt idx="19">
                  <c:v>7.0417931291632536</c:v>
                </c:pt>
              </c:numCache>
            </c:numRef>
          </c:yVal>
          <c:smooth val="0"/>
          <c:extLst>
            <c:ext xmlns:c16="http://schemas.microsoft.com/office/drawing/2014/chart" uri="{C3380CC4-5D6E-409C-BE32-E72D297353CC}">
              <c16:uniqueId val="{00000008-3D6E-43A0-B3B2-71EAEC549AEF}"/>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m!$CP$115:$DT$115</c:f>
              <c:numCache>
                <c:formatCode>General</c:formatCode>
                <c:ptCount val="31"/>
                <c:pt idx="0">
                  <c:v>0.15137629508782466</c:v>
                </c:pt>
                <c:pt idx="1">
                  <c:v>0.18922888986966163</c:v>
                </c:pt>
                <c:pt idx="2">
                  <c:v>0.22716083391694958</c:v>
                </c:pt>
                <c:pt idx="3">
                  <c:v>0.26487104591723021</c:v>
                </c:pt>
                <c:pt idx="4">
                  <c:v>0.30274959501393373</c:v>
                </c:pt>
                <c:pt idx="5">
                  <c:v>0.34061605086371027</c:v>
                </c:pt>
                <c:pt idx="6">
                  <c:v>0.37837913985427862</c:v>
                </c:pt>
                <c:pt idx="7">
                  <c:v>0.41630964262074099</c:v>
                </c:pt>
                <c:pt idx="8">
                  <c:v>0.45408214497670135</c:v>
                </c:pt>
                <c:pt idx="9">
                  <c:v>0.4920403023190042</c:v>
                </c:pt>
                <c:pt idx="10">
                  <c:v>0.52977082737092007</c:v>
                </c:pt>
                <c:pt idx="11">
                  <c:v>0.56770259125810485</c:v>
                </c:pt>
                <c:pt idx="12">
                  <c:v>0.60540992069673427</c:v>
                </c:pt>
                <c:pt idx="14">
                  <c:v>0.60539411164767898</c:v>
                </c:pt>
                <c:pt idx="15">
                  <c:v>0.11352731476805805</c:v>
                </c:pt>
                <c:pt idx="18">
                  <c:v>0.64338348172786031</c:v>
                </c:pt>
                <c:pt idx="19">
                  <c:v>0.71914287696258317</c:v>
                </c:pt>
                <c:pt idx="20">
                  <c:v>0.79464964269260063</c:v>
                </c:pt>
                <c:pt idx="21">
                  <c:v>0.87058496426809329</c:v>
                </c:pt>
                <c:pt idx="22">
                  <c:v>0.94656829851108759</c:v>
                </c:pt>
                <c:pt idx="23">
                  <c:v>7.5680535779552346E-2</c:v>
                </c:pt>
                <c:pt idx="24">
                  <c:v>0.11354057905565579</c:v>
                </c:pt>
                <c:pt idx="25">
                  <c:v>9.0857037082600442E-2</c:v>
                </c:pt>
                <c:pt idx="26">
                  <c:v>0.13625511982646715</c:v>
                </c:pt>
                <c:pt idx="27">
                  <c:v>0.10596009499358042</c:v>
                </c:pt>
                <c:pt idx="28">
                  <c:v>0.56763268913806508</c:v>
                </c:pt>
                <c:pt idx="29">
                  <c:v>0.68121584227810716</c:v>
                </c:pt>
              </c:numCache>
            </c:numRef>
          </c:xVal>
          <c:yVal>
            <c:numRef>
              <c:f>m!$CP$96:$DT$96</c:f>
              <c:numCache>
                <c:formatCode>General</c:formatCode>
                <c:ptCount val="31"/>
                <c:pt idx="0">
                  <c:v>6.6249810457925706</c:v>
                </c:pt>
                <c:pt idx="1">
                  <c:v>5.9447274054537775</c:v>
                </c:pt>
                <c:pt idx="2">
                  <c:v>4.3790295625014277</c:v>
                </c:pt>
                <c:pt idx="3">
                  <c:v>7.0215974595106143</c:v>
                </c:pt>
                <c:pt idx="4">
                  <c:v>5.4768436761823818</c:v>
                </c:pt>
                <c:pt idx="5">
                  <c:v>4.8822056936446092</c:v>
                </c:pt>
                <c:pt idx="6">
                  <c:v>4.4672288224686083</c:v>
                </c:pt>
                <c:pt idx="7">
                  <c:v>6.5369518717044457</c:v>
                </c:pt>
                <c:pt idx="8">
                  <c:v>7.9590472097189648</c:v>
                </c:pt>
                <c:pt idx="9">
                  <c:v>5.4878070883378705</c:v>
                </c:pt>
                <c:pt idx="10">
                  <c:v>6.5026988056572304</c:v>
                </c:pt>
                <c:pt idx="11">
                  <c:v>6.329848379965453</c:v>
                </c:pt>
                <c:pt idx="12">
                  <c:v>6.2013253457317621</c:v>
                </c:pt>
                <c:pt idx="14">
                  <c:v>5.2492619268133645</c:v>
                </c:pt>
                <c:pt idx="15">
                  <c:v>6.3209002515631276</c:v>
                </c:pt>
                <c:pt idx="18">
                  <c:v>6.4868297836002924</c:v>
                </c:pt>
                <c:pt idx="19">
                  <c:v>5.827620282954654</c:v>
                </c:pt>
                <c:pt idx="20">
                  <c:v>7.0663143302767422</c:v>
                </c:pt>
                <c:pt idx="21">
                  <c:v>5.9628619384453367</c:v>
                </c:pt>
                <c:pt idx="22">
                  <c:v>5.5226853762264438</c:v>
                </c:pt>
                <c:pt idx="23">
                  <c:v>9.7019903060697743</c:v>
                </c:pt>
                <c:pt idx="24">
                  <c:v>7.6053639768993335</c:v>
                </c:pt>
                <c:pt idx="25">
                  <c:v>7.5584542426748964</c:v>
                </c:pt>
                <c:pt idx="26">
                  <c:v>6.9427008530083283</c:v>
                </c:pt>
                <c:pt idx="27">
                  <c:v>6.4055240885023839</c:v>
                </c:pt>
                <c:pt idx="28">
                  <c:v>5.9595789339150782</c:v>
                </c:pt>
                <c:pt idx="29">
                  <c:v>5.8625018670641422</c:v>
                </c:pt>
              </c:numCache>
            </c:numRef>
          </c:yVal>
          <c:smooth val="0"/>
          <c:extLst>
            <c:ext xmlns:c16="http://schemas.microsoft.com/office/drawing/2014/chart" uri="{C3380CC4-5D6E-409C-BE32-E72D297353CC}">
              <c16:uniqueId val="{00000009-3D6E-43A0-B3B2-71EAEC549AEF}"/>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m!$DU$115:$DX$115</c:f>
              <c:numCache>
                <c:formatCode>General</c:formatCode>
                <c:ptCount val="4"/>
                <c:pt idx="1">
                  <c:v>0.16255738756844693</c:v>
                </c:pt>
              </c:numCache>
            </c:numRef>
          </c:xVal>
          <c:yVal>
            <c:numRef>
              <c:f>m!$DU$96:$DX$96</c:f>
              <c:numCache>
                <c:formatCode>General</c:formatCode>
                <c:ptCount val="4"/>
                <c:pt idx="1">
                  <c:v>8.5837852954236631</c:v>
                </c:pt>
              </c:numCache>
            </c:numRef>
          </c:yVal>
          <c:smooth val="0"/>
          <c:extLst>
            <c:ext xmlns:c16="http://schemas.microsoft.com/office/drawing/2014/chart" uri="{C3380CC4-5D6E-409C-BE32-E72D297353CC}">
              <c16:uniqueId val="{0000000A-3D6E-43A0-B3B2-71EAEC549AEF}"/>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m!$DY$115:$EL$115</c:f>
              <c:numCache>
                <c:formatCode>General</c:formatCode>
                <c:ptCount val="14"/>
                <c:pt idx="0">
                  <c:v>8.1280125178106469E-2</c:v>
                </c:pt>
                <c:pt idx="1">
                  <c:v>0.16252382718483896</c:v>
                </c:pt>
                <c:pt idx="2">
                  <c:v>0.1950210333146517</c:v>
                </c:pt>
                <c:pt idx="3">
                  <c:v>0.22757123970445631</c:v>
                </c:pt>
                <c:pt idx="4">
                  <c:v>0.26008442328490894</c:v>
                </c:pt>
                <c:pt idx="5">
                  <c:v>0.29253114376560535</c:v>
                </c:pt>
                <c:pt idx="6">
                  <c:v>0.32513106207810305</c:v>
                </c:pt>
                <c:pt idx="7">
                  <c:v>0.35759844105429994</c:v>
                </c:pt>
                <c:pt idx="8">
                  <c:v>0.35765720557614494</c:v>
                </c:pt>
                <c:pt idx="10">
                  <c:v>0.48766053746583166</c:v>
                </c:pt>
                <c:pt idx="11">
                  <c:v>0.52003711964626154</c:v>
                </c:pt>
                <c:pt idx="13">
                  <c:v>0.39003943595946439</c:v>
                </c:pt>
              </c:numCache>
            </c:numRef>
          </c:xVal>
          <c:yVal>
            <c:numRef>
              <c:f>m!$DY$96:$EL$96</c:f>
              <c:numCache>
                <c:formatCode>General</c:formatCode>
                <c:ptCount val="14"/>
                <c:pt idx="0">
                  <c:v>8.0736939293288259</c:v>
                </c:pt>
                <c:pt idx="1">
                  <c:v>8.5723204770723118</c:v>
                </c:pt>
                <c:pt idx="2">
                  <c:v>9.3688715981853772</c:v>
                </c:pt>
                <c:pt idx="3">
                  <c:v>11.808645757253798</c:v>
                </c:pt>
                <c:pt idx="4">
                  <c:v>9.3027335683988124</c:v>
                </c:pt>
                <c:pt idx="5">
                  <c:v>8.8407959437509973</c:v>
                </c:pt>
                <c:pt idx="6">
                  <c:v>9.4797698241348378</c:v>
                </c:pt>
                <c:pt idx="7">
                  <c:v>7.8622566156607085</c:v>
                </c:pt>
                <c:pt idx="8">
                  <c:v>9.6176111415033159</c:v>
                </c:pt>
                <c:pt idx="10">
                  <c:v>7.4199267899654808</c:v>
                </c:pt>
                <c:pt idx="11">
                  <c:v>7.9053481326688049</c:v>
                </c:pt>
                <c:pt idx="13">
                  <c:v>7.3530728474436851</c:v>
                </c:pt>
              </c:numCache>
            </c:numRef>
          </c:yVal>
          <c:smooth val="0"/>
          <c:extLst>
            <c:ext xmlns:c16="http://schemas.microsoft.com/office/drawing/2014/chart" uri="{C3380CC4-5D6E-409C-BE32-E72D297353CC}">
              <c16:uniqueId val="{0000000B-3D6E-43A0-B3B2-71EAEC549AEF}"/>
            </c:ext>
          </c:extLst>
        </c:ser>
        <c:dLbls>
          <c:showLegendKey val="0"/>
          <c:showVal val="0"/>
          <c:showCatName val="0"/>
          <c:showSerName val="0"/>
          <c:showPercent val="0"/>
          <c:showBubbleSize val="0"/>
        </c:dLbls>
        <c:axId val="624399680"/>
        <c:axId val="624400008"/>
        <c:extLst>
          <c:ext xmlns:c15="http://schemas.microsoft.com/office/drawing/2012/chart" uri="{02D57815-91ED-43cb-92C2-25804820EDAC}">
            <c15:filteredScatterSeries>
              <c15:ser>
                <c:idx val="1"/>
                <c:order val="12"/>
                <c:tx>
                  <c:v>In Line, OL</c:v>
                </c:tx>
                <c:spPr>
                  <a:ln w="25400" cap="rnd">
                    <a:noFill/>
                    <a:round/>
                  </a:ln>
                  <a:effectLst/>
                </c:spPr>
                <c:marker>
                  <c:symbol val="circle"/>
                  <c:size val="7"/>
                  <c:spPr>
                    <a:noFill/>
                    <a:ln w="15875">
                      <a:solidFill>
                        <a:schemeClr val="tx1"/>
                      </a:solidFill>
                    </a:ln>
                    <a:effectLst/>
                  </c:spPr>
                </c:marker>
                <c:xVal>
                  <c:numRef>
                    <c:extLst>
                      <c:ext uri="{02D57815-91ED-43cb-92C2-25804820EDAC}">
                        <c15:formulaRef>
                          <c15:sqref>m!$AF$86:$AO$86</c15:sqref>
                        </c15:formulaRef>
                      </c:ext>
                    </c:extLst>
                    <c:numCache>
                      <c:formatCode>General</c:formatCode>
                      <c:ptCount val="10"/>
                      <c:pt idx="6">
                        <c:v>2.60569650261762</c:v>
                      </c:pt>
                      <c:pt idx="7">
                        <c:v>2.8052504067622763</c:v>
                      </c:pt>
                      <c:pt idx="8">
                        <c:v>2.9780821140943421</c:v>
                      </c:pt>
                      <c:pt idx="9">
                        <c:v>3.163643721763262</c:v>
                      </c:pt>
                    </c:numCache>
                  </c:numRef>
                </c:xVal>
                <c:yVal>
                  <c:numRef>
                    <c:extLst>
                      <c:ext uri="{02D57815-91ED-43cb-92C2-25804820EDAC}">
                        <c15:formulaRef>
                          <c15:sqref>m!$AF$91:$AO$91</c15:sqref>
                        </c15:formulaRef>
                      </c:ext>
                    </c:extLst>
                    <c:numCache>
                      <c:formatCode>General</c:formatCode>
                      <c:ptCount val="10"/>
                      <c:pt idx="6">
                        <c:v>3.9502776072221706</c:v>
                      </c:pt>
                      <c:pt idx="7">
                        <c:v>3.8204481933278442</c:v>
                      </c:pt>
                      <c:pt idx="8">
                        <c:v>2.8990463053331168</c:v>
                      </c:pt>
                      <c:pt idx="9">
                        <c:v>3.0460998559525874</c:v>
                      </c:pt>
                    </c:numCache>
                  </c:numRef>
                </c:yVal>
                <c:smooth val="0"/>
                <c:extLst>
                  <c:ext xmlns:c16="http://schemas.microsoft.com/office/drawing/2014/chart" uri="{C3380CC4-5D6E-409C-BE32-E72D297353CC}">
                    <c16:uniqueId val="{0000000C-3D6E-43A0-B3B2-71EAEC549AEF}"/>
                  </c:ext>
                </c:extLst>
              </c15:ser>
            </c15:filteredScatterSeries>
            <c15:filteredScatterSeries>
              <c15:ser>
                <c:idx val="2"/>
                <c:order val="13"/>
                <c:tx>
                  <c:v>In Line, EM</c:v>
                </c:tx>
                <c:spPr>
                  <a:ln w="25400" cap="rnd">
                    <a:noFill/>
                    <a:round/>
                  </a:ln>
                  <a:effectLst/>
                </c:spPr>
                <c:marker>
                  <c:symbol val="circle"/>
                  <c:size val="7"/>
                  <c:spPr>
                    <a:noFill/>
                    <a:ln w="15875">
                      <a:solidFill>
                        <a:schemeClr val="accent3"/>
                      </a:solidFill>
                    </a:ln>
                    <a:effectLst/>
                  </c:spPr>
                </c:marker>
                <c:xVal>
                  <c:numRef>
                    <c:extLst xmlns:c15="http://schemas.microsoft.com/office/drawing/2012/chart">
                      <c:ext xmlns:c15="http://schemas.microsoft.com/office/drawing/2012/chart" uri="{02D57815-91ED-43cb-92C2-25804820EDAC}">
                        <c15:formulaRef>
                          <c15:sqref>m!$AP$86:$BL$86</c15:sqref>
                        </c15:formulaRef>
                      </c:ext>
                    </c:extLst>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extLst xmlns:c15="http://schemas.microsoft.com/office/drawing/2012/chart">
                      <c:ext xmlns:c15="http://schemas.microsoft.com/office/drawing/2012/chart" uri="{02D57815-91ED-43cb-92C2-25804820EDAC}">
                        <c15:formulaRef>
                          <c15:sqref>m!$AP$91:$BL$91</c15:sqref>
                        </c15:formulaRef>
                      </c:ext>
                    </c:extLst>
                    <c:numCache>
                      <c:formatCode>General</c:formatCode>
                      <c:ptCount val="23"/>
                      <c:pt idx="0">
                        <c:v>3.9015319384578984</c:v>
                      </c:pt>
                      <c:pt idx="1">
                        <c:v>4.0324241551015083</c:v>
                      </c:pt>
                      <c:pt idx="2">
                        <c:v>2.4087539710783048</c:v>
                      </c:pt>
                      <c:pt idx="3">
                        <c:v>2.5988468550675954</c:v>
                      </c:pt>
                      <c:pt idx="4">
                        <c:v>2.4975377660733624</c:v>
                      </c:pt>
                      <c:pt idx="6">
                        <c:v>2.4940490859525726</c:v>
                      </c:pt>
                      <c:pt idx="12">
                        <c:v>2.077389993099553</c:v>
                      </c:pt>
                      <c:pt idx="19">
                        <c:v>3.887685418105959</c:v>
                      </c:pt>
                      <c:pt idx="20">
                        <c:v>3.0668865507265997</c:v>
                      </c:pt>
                      <c:pt idx="21">
                        <c:v>4.0491103337392174</c:v>
                      </c:pt>
                    </c:numCache>
                  </c:numRef>
                </c:yVal>
                <c:smooth val="0"/>
                <c:extLst xmlns:c15="http://schemas.microsoft.com/office/drawing/2012/chart">
                  <c:ext xmlns:c16="http://schemas.microsoft.com/office/drawing/2014/chart" uri="{C3380CC4-5D6E-409C-BE32-E72D297353CC}">
                    <c16:uniqueId val="{0000000D-3D6E-43A0-B3B2-71EAEC549AEF}"/>
                  </c:ext>
                </c:extLst>
              </c15:ser>
            </c15:filteredScatterSeries>
            <c15:filteredScatterSeries>
              <c15:ser>
                <c:idx val="3"/>
                <c:order val="14"/>
                <c:tx>
                  <c:v>In Line, Shell</c:v>
                </c:tx>
                <c:spPr>
                  <a:ln w="25400" cap="rnd">
                    <a:noFill/>
                    <a:round/>
                  </a:ln>
                  <a:effectLst/>
                </c:spPr>
                <c:marker>
                  <c:symbol val="circle"/>
                  <c:size val="7"/>
                  <c:spPr>
                    <a:noFill/>
                    <a:ln w="15875">
                      <a:solidFill>
                        <a:schemeClr val="accent2"/>
                      </a:solidFill>
                    </a:ln>
                    <a:effectLst/>
                  </c:spPr>
                </c:marker>
                <c:xVal>
                  <c:numRef>
                    <c:extLst xmlns:c15="http://schemas.microsoft.com/office/drawing/2012/chart">
                      <c:ext xmlns:c15="http://schemas.microsoft.com/office/drawing/2012/chart" uri="{02D57815-91ED-43cb-92C2-25804820EDAC}">
                        <c15:formulaRef>
                          <c15:sqref>m!$DU$86:$DX$86</c15:sqref>
                        </c15:formulaRef>
                      </c:ext>
                    </c:extLst>
                    <c:numCache>
                      <c:formatCode>General</c:formatCode>
                      <c:ptCount val="4"/>
                      <c:pt idx="1">
                        <c:v>3.8469075681895233</c:v>
                      </c:pt>
                    </c:numCache>
                  </c:numRef>
                </c:xVal>
                <c:yVal>
                  <c:numRef>
                    <c:extLst xmlns:c15="http://schemas.microsoft.com/office/drawing/2012/chart">
                      <c:ext xmlns:c15="http://schemas.microsoft.com/office/drawing/2012/chart" uri="{02D57815-91ED-43cb-92C2-25804820EDAC}">
                        <c15:formulaRef>
                          <c15:sqref>m!$DU$91:$DX$91</c15:sqref>
                        </c15:formulaRef>
                      </c:ext>
                    </c:extLst>
                    <c:numCache>
                      <c:formatCode>General</c:formatCode>
                      <c:ptCount val="4"/>
                      <c:pt idx="1">
                        <c:v>5.9805420003862961</c:v>
                      </c:pt>
                    </c:numCache>
                  </c:numRef>
                </c:yVal>
                <c:smooth val="0"/>
                <c:extLst xmlns:c15="http://schemas.microsoft.com/office/drawing/2012/chart">
                  <c:ext xmlns:c16="http://schemas.microsoft.com/office/drawing/2014/chart" uri="{C3380CC4-5D6E-409C-BE32-E72D297353CC}">
                    <c16:uniqueId val="{0000000E-3D6E-43A0-B3B2-71EAEC549AEF}"/>
                  </c:ext>
                </c:extLst>
              </c15:ser>
            </c15:filteredScatterSeries>
          </c:ext>
        </c:extLst>
      </c:scatterChart>
      <c:valAx>
        <c:axId val="624399680"/>
        <c:scaling>
          <c:logBase val="10"/>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Strouhal/Axial Mode Frequency Ratio, ψ</a:t>
                </a:r>
                <a:r>
                  <a:rPr lang="en-US" sz="1400" b="0" i="0" u="none" strike="noStrike" baseline="-25000">
                    <a:effectLst/>
                  </a:rPr>
                  <a:t>ai1</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baseline="0">
                    <a:effectLst/>
                  </a:rPr>
                  <a:t>Normalized Fatigue-Equivalent Strain Amplitude,   ϵ̃</a:t>
                </a:r>
                <a:r>
                  <a:rPr lang="en-US" sz="1400" b="0" i="0" baseline="-25000">
                    <a:effectLst/>
                  </a:rPr>
                  <a:t>e</a:t>
                </a:r>
                <a:r>
                  <a:rPr lang="en-US" sz="1400" b="0" i="0" baseline="0">
                    <a:effectLst/>
                  </a:rPr>
                  <a:t> = ϵ</a:t>
                </a:r>
                <a:r>
                  <a:rPr lang="en-US" sz="1400" b="0" i="0" baseline="-25000">
                    <a:effectLst/>
                  </a:rPr>
                  <a:t>e</a:t>
                </a:r>
                <a:r>
                  <a:rPr lang="en-US" sz="1400" b="0" i="0" baseline="0">
                    <a:effectLst/>
                  </a:rPr>
                  <a:t>/(R</a:t>
                </a:r>
                <a:r>
                  <a:rPr lang="en-US" sz="1400" b="0" i="0" baseline="-25000">
                    <a:effectLst/>
                  </a:rPr>
                  <a:t>ϵ</a:t>
                </a:r>
                <a:r>
                  <a:rPr lang="en-US" sz="1400" b="0" i="0" baseline="0">
                    <a:effectLst/>
                  </a:rPr>
                  <a:t>D/L</a:t>
                </a:r>
                <a:r>
                  <a:rPr lang="en-US" sz="1400" b="0" i="0" baseline="-25000">
                    <a:effectLst/>
                  </a:rPr>
                  <a:t>st</a:t>
                </a:r>
                <a:r>
                  <a:rPr lang="en-US" sz="1400" b="0" i="0" baseline="30000">
                    <a:effectLst/>
                  </a:rPr>
                  <a:t>2</a:t>
                </a:r>
                <a:r>
                  <a:rPr lang="en-US" sz="1400" b="0" i="0" baseline="0">
                    <a:effectLst/>
                  </a:rPr>
                  <a:t>)</a:t>
                </a:r>
                <a:endParaRPr lang="en-US" sz="1400">
                  <a:effectLst/>
                </a:endParaRPr>
              </a:p>
            </c:rich>
          </c:tx>
          <c:layout>
            <c:manualLayout>
              <c:xMode val="edge"/>
              <c:yMode val="edge"/>
              <c:x val="1.2786980528916013E-2"/>
              <c:y val="5.1139526362623478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At val="1.0000000000000002E-2"/>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m!$AF$116:$AO$116</c:f>
              <c:numCache>
                <c:formatCode>General</c:formatCode>
                <c:ptCount val="10"/>
                <c:pt idx="6">
                  <c:v>9.159471421134345E-3</c:v>
                </c:pt>
                <c:pt idx="7">
                  <c:v>1.2304433621974654E-2</c:v>
                </c:pt>
                <c:pt idx="8">
                  <c:v>1.562866077933359E-2</c:v>
                </c:pt>
                <c:pt idx="9">
                  <c:v>1.9903312746393294E-2</c:v>
                </c:pt>
              </c:numCache>
            </c:numRef>
          </c:xVal>
          <c:yVal>
            <c:numRef>
              <c:f>m!$AF$95:$AO$95</c:f>
              <c:numCache>
                <c:formatCode>General</c:formatCode>
                <c:ptCount val="10"/>
                <c:pt idx="6">
                  <c:v>6.0414806166082506</c:v>
                </c:pt>
                <c:pt idx="7">
                  <c:v>6.1292359928204512</c:v>
                </c:pt>
                <c:pt idx="8">
                  <c:v>5.2848958185987494</c:v>
                </c:pt>
                <c:pt idx="9">
                  <c:v>4.2979154085934459</c:v>
                </c:pt>
              </c:numCache>
            </c:numRef>
          </c:yVal>
          <c:smooth val="0"/>
          <c:extLst>
            <c:ext xmlns:c16="http://schemas.microsoft.com/office/drawing/2014/chart" uri="{C3380CC4-5D6E-409C-BE32-E72D297353CC}">
              <c16:uniqueId val="{00000000-3F21-4C88-BC4F-39B9175B5217}"/>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m!$AP$116:$BL$116</c:f>
              <c:numCache>
                <c:formatCode>General</c:formatCode>
                <c:ptCount val="23"/>
                <c:pt idx="0">
                  <c:v>4.3532176926543202E-4</c:v>
                </c:pt>
                <c:pt idx="1">
                  <c:v>1.6735974820352064E-3</c:v>
                </c:pt>
                <c:pt idx="2">
                  <c:v>6.9940306070295421E-3</c:v>
                </c:pt>
                <c:pt idx="3">
                  <c:v>1.7920184128902159E-2</c:v>
                </c:pt>
                <c:pt idx="4">
                  <c:v>3.5947557614726365E-2</c:v>
                </c:pt>
                <c:pt idx="6">
                  <c:v>8.8508032311358786E-2</c:v>
                </c:pt>
                <c:pt idx="12">
                  <c:v>0.3357340591684066</c:v>
                </c:pt>
                <c:pt idx="19">
                  <c:v>9.6638094769529244E-4</c:v>
                </c:pt>
                <c:pt idx="20">
                  <c:v>3.841232416574184E-3</c:v>
                </c:pt>
                <c:pt idx="21">
                  <c:v>1.7719079131209466E-3</c:v>
                </c:pt>
              </c:numCache>
            </c:numRef>
          </c:xVal>
          <c:yVal>
            <c:numRef>
              <c:f>m!$AP$95:$BL$95</c:f>
              <c:numCache>
                <c:formatCode>General</c:formatCode>
                <c:ptCount val="23"/>
                <c:pt idx="0">
                  <c:v>5.0532147082786567</c:v>
                </c:pt>
                <c:pt idx="1">
                  <c:v>3.6133175421953494</c:v>
                </c:pt>
                <c:pt idx="2">
                  <c:v>4.4434942874585293</c:v>
                </c:pt>
                <c:pt idx="3">
                  <c:v>4.9154385147601225</c:v>
                </c:pt>
                <c:pt idx="4">
                  <c:v>5.3963977447979259</c:v>
                </c:pt>
                <c:pt idx="6">
                  <c:v>3.52255142553093</c:v>
                </c:pt>
                <c:pt idx="12">
                  <c:v>4.1401928182528742</c:v>
                </c:pt>
                <c:pt idx="19">
                  <c:v>4.490854651714832</c:v>
                </c:pt>
                <c:pt idx="20">
                  <c:v>4.8959517967458943</c:v>
                </c:pt>
                <c:pt idx="21">
                  <c:v>3.8939295934451761</c:v>
                </c:pt>
              </c:numCache>
            </c:numRef>
          </c:yVal>
          <c:smooth val="0"/>
          <c:extLst>
            <c:ext xmlns:c16="http://schemas.microsoft.com/office/drawing/2014/chart" uri="{C3380CC4-5D6E-409C-BE32-E72D297353CC}">
              <c16:uniqueId val="{00000001-3F21-4C88-BC4F-39B9175B5217}"/>
            </c:ext>
          </c:extLst>
        </c:ser>
        <c:ser>
          <c:idx val="11"/>
          <c:order val="2"/>
          <c:tx>
            <c:v>CF, Pipe 1</c:v>
          </c:tx>
          <c:spPr>
            <a:ln w="25400" cap="rnd">
              <a:noFill/>
              <a:round/>
            </a:ln>
            <a:effectLst/>
          </c:spPr>
          <c:marker>
            <c:symbol val="x"/>
            <c:size val="7"/>
            <c:spPr>
              <a:noFill/>
              <a:ln w="15875">
                <a:solidFill>
                  <a:schemeClr val="accent6"/>
                </a:solidFill>
              </a:ln>
              <a:effectLst/>
            </c:spPr>
          </c:marker>
          <c:xVal>
            <c:numRef>
              <c:f>m!$BM$116:$CO$116</c:f>
              <c:numCache>
                <c:formatCode>General</c:formatCode>
                <c:ptCount val="29"/>
                <c:pt idx="0">
                  <c:v>0.21964100117301208</c:v>
                </c:pt>
                <c:pt idx="1">
                  <c:v>1.0573585895566537</c:v>
                </c:pt>
                <c:pt idx="3">
                  <c:v>8.865907770015774E-2</c:v>
                </c:pt>
                <c:pt idx="4">
                  <c:v>0.16775406115395691</c:v>
                </c:pt>
                <c:pt idx="5">
                  <c:v>0.30552471664921405</c:v>
                </c:pt>
                <c:pt idx="6">
                  <c:v>0.44009573900931581</c:v>
                </c:pt>
                <c:pt idx="7">
                  <c:v>0.59643405491107793</c:v>
                </c:pt>
                <c:pt idx="8">
                  <c:v>0.7859064463597959</c:v>
                </c:pt>
                <c:pt idx="9">
                  <c:v>1.0440378462005988</c:v>
                </c:pt>
                <c:pt idx="10">
                  <c:v>1.5172221319173158</c:v>
                </c:pt>
                <c:pt idx="11">
                  <c:v>1.7737833961640876</c:v>
                </c:pt>
                <c:pt idx="12">
                  <c:v>1.9122594371008936</c:v>
                </c:pt>
                <c:pt idx="13">
                  <c:v>9.7839964241909216E-2</c:v>
                </c:pt>
                <c:pt idx="14">
                  <c:v>0.79202530080420708</c:v>
                </c:pt>
                <c:pt idx="15">
                  <c:v>0.80423469614236642</c:v>
                </c:pt>
                <c:pt idx="16">
                  <c:v>1.9610008681225588</c:v>
                </c:pt>
                <c:pt idx="17">
                  <c:v>2.2215382573810976</c:v>
                </c:pt>
                <c:pt idx="18">
                  <c:v>2.6039993922151998</c:v>
                </c:pt>
                <c:pt idx="19">
                  <c:v>3.0076323209878808</c:v>
                </c:pt>
              </c:numCache>
            </c:numRef>
          </c:xVal>
          <c:yVal>
            <c:numRef>
              <c:f>m!$BM$95:$CO$95</c:f>
              <c:numCache>
                <c:formatCode>General</c:formatCode>
                <c:ptCount val="29"/>
                <c:pt idx="0">
                  <c:v>10.120470713192889</c:v>
                </c:pt>
                <c:pt idx="1">
                  <c:v>8.9453772336192614</c:v>
                </c:pt>
                <c:pt idx="3">
                  <c:v>10.611578666711525</c:v>
                </c:pt>
                <c:pt idx="4">
                  <c:v>13.484969152564005</c:v>
                </c:pt>
                <c:pt idx="5">
                  <c:v>9.6684949677469909</c:v>
                </c:pt>
                <c:pt idx="6">
                  <c:v>10.056504925363537</c:v>
                </c:pt>
                <c:pt idx="7">
                  <c:v>11.387889643620143</c:v>
                </c:pt>
                <c:pt idx="8">
                  <c:v>9.5704123434084227</c:v>
                </c:pt>
                <c:pt idx="9">
                  <c:v>9.3655475104383363</c:v>
                </c:pt>
                <c:pt idx="10">
                  <c:v>7.9975610372982713</c:v>
                </c:pt>
                <c:pt idx="11">
                  <c:v>8.2532209331067783</c:v>
                </c:pt>
                <c:pt idx="12">
                  <c:v>7.954322186490991</c:v>
                </c:pt>
                <c:pt idx="13">
                  <c:v>10.007795801208351</c:v>
                </c:pt>
                <c:pt idx="14">
                  <c:v>9.8621963860643529</c:v>
                </c:pt>
                <c:pt idx="15">
                  <c:v>9.4519747608689038</c:v>
                </c:pt>
                <c:pt idx="16">
                  <c:v>7.5048349972577322</c:v>
                </c:pt>
                <c:pt idx="17">
                  <c:v>7.5765537722697776</c:v>
                </c:pt>
                <c:pt idx="18">
                  <c:v>6.4600890770907728</c:v>
                </c:pt>
                <c:pt idx="19">
                  <c:v>6.3590149916729768</c:v>
                </c:pt>
              </c:numCache>
            </c:numRef>
          </c:yVal>
          <c:smooth val="0"/>
          <c:extLst>
            <c:ext xmlns:c16="http://schemas.microsoft.com/office/drawing/2014/chart" uri="{C3380CC4-5D6E-409C-BE32-E72D297353CC}">
              <c16:uniqueId val="{00000002-3F21-4C88-BC4F-39B9175B5217}"/>
            </c:ext>
          </c:extLst>
        </c:ser>
        <c:ser>
          <c:idx val="13"/>
          <c:order val="3"/>
          <c:tx>
            <c:v>CF, Pipe 2</c:v>
          </c:tx>
          <c:spPr>
            <a:ln w="25400" cap="rnd">
              <a:noFill/>
              <a:round/>
            </a:ln>
            <a:effectLst/>
          </c:spPr>
          <c:marker>
            <c:symbol val="x"/>
            <c:size val="7"/>
            <c:spPr>
              <a:noFill/>
              <a:ln w="15875">
                <a:solidFill>
                  <a:srgbClr val="00B0F0"/>
                </a:solidFill>
              </a:ln>
              <a:effectLst/>
            </c:spPr>
          </c:marker>
          <c:xVal>
            <c:numRef>
              <c:f>m!$CP$116:$DT$116</c:f>
              <c:numCache>
                <c:formatCode>General</c:formatCode>
                <c:ptCount val="31"/>
                <c:pt idx="0">
                  <c:v>1.7973450156954836E-2</c:v>
                </c:pt>
                <c:pt idx="1">
                  <c:v>3.7815075671765917E-2</c:v>
                </c:pt>
                <c:pt idx="2">
                  <c:v>6.8343610442249583E-2</c:v>
                </c:pt>
                <c:pt idx="3">
                  <c:v>9.7142560717807358E-2</c:v>
                </c:pt>
                <c:pt idx="4">
                  <c:v>0.13720511442321795</c:v>
                </c:pt>
                <c:pt idx="5">
                  <c:v>0.19323660709632506</c:v>
                </c:pt>
                <c:pt idx="6">
                  <c:v>0.24462452314102054</c:v>
                </c:pt>
                <c:pt idx="7">
                  <c:v>0.27536769069321271</c:v>
                </c:pt>
                <c:pt idx="8">
                  <c:v>0.32241984763508624</c:v>
                </c:pt>
                <c:pt idx="9">
                  <c:v>0.41367648903987442</c:v>
                </c:pt>
                <c:pt idx="10">
                  <c:v>0.45780633070722754</c:v>
                </c:pt>
                <c:pt idx="11">
                  <c:v>0.53544075613542574</c:v>
                </c:pt>
                <c:pt idx="12">
                  <c:v>0.57422414424199064</c:v>
                </c:pt>
                <c:pt idx="14">
                  <c:v>0.58673649393143035</c:v>
                </c:pt>
                <c:pt idx="15">
                  <c:v>8.1098027952700436E-3</c:v>
                </c:pt>
                <c:pt idx="18">
                  <c:v>0.87822445379706948</c:v>
                </c:pt>
                <c:pt idx="19">
                  <c:v>1.0523623286780133</c:v>
                </c:pt>
                <c:pt idx="20">
                  <c:v>1.2341309808520879</c:v>
                </c:pt>
                <c:pt idx="21">
                  <c:v>1.4242547890003812</c:v>
                </c:pt>
                <c:pt idx="22">
                  <c:v>1.5889498437357472</c:v>
                </c:pt>
                <c:pt idx="23">
                  <c:v>1.2312565385056602E-3</c:v>
                </c:pt>
                <c:pt idx="24">
                  <c:v>5.8867899977585233E-3</c:v>
                </c:pt>
                <c:pt idx="25">
                  <c:v>2.5214135418066752E-3</c:v>
                </c:pt>
                <c:pt idx="26">
                  <c:v>1.155064261705315E-2</c:v>
                </c:pt>
                <c:pt idx="27">
                  <c:v>4.54560644894821E-3</c:v>
                </c:pt>
                <c:pt idx="28">
                  <c:v>1.1138071558024216</c:v>
                </c:pt>
                <c:pt idx="29">
                  <c:v>1.4255467557422841</c:v>
                </c:pt>
              </c:numCache>
            </c:numRef>
          </c:xVal>
          <c:yVal>
            <c:numRef>
              <c:f>m!$CP$95:$DT$95</c:f>
              <c:numCache>
                <c:formatCode>General</c:formatCode>
                <c:ptCount val="31"/>
                <c:pt idx="0">
                  <c:v>7.230064864592558</c:v>
                </c:pt>
                <c:pt idx="1">
                  <c:v>7.8432795970043863</c:v>
                </c:pt>
                <c:pt idx="2">
                  <c:v>7.1611992718238096</c:v>
                </c:pt>
                <c:pt idx="3">
                  <c:v>8.5921413030732001</c:v>
                </c:pt>
                <c:pt idx="4">
                  <c:v>6.661272134560023</c:v>
                </c:pt>
                <c:pt idx="5">
                  <c:v>7.7435399296450607</c:v>
                </c:pt>
                <c:pt idx="6">
                  <c:v>6.1997981508460969</c:v>
                </c:pt>
                <c:pt idx="7">
                  <c:v>7.7408089896434431</c:v>
                </c:pt>
                <c:pt idx="8">
                  <c:v>8.6625983848095451</c:v>
                </c:pt>
                <c:pt idx="9">
                  <c:v>6.621771797238047</c:v>
                </c:pt>
                <c:pt idx="10">
                  <c:v>6.9659330774762003</c:v>
                </c:pt>
                <c:pt idx="11">
                  <c:v>7.1453382407870949</c:v>
                </c:pt>
                <c:pt idx="12">
                  <c:v>8.4516911292205865</c:v>
                </c:pt>
                <c:pt idx="14">
                  <c:v>6.0778760902500926</c:v>
                </c:pt>
                <c:pt idx="15">
                  <c:v>8.6619524722903734</c:v>
                </c:pt>
                <c:pt idx="18">
                  <c:v>7.3483443733593532</c:v>
                </c:pt>
                <c:pt idx="19">
                  <c:v>8.0072612621981989</c:v>
                </c:pt>
                <c:pt idx="20">
                  <c:v>7.0758839302446521</c:v>
                </c:pt>
                <c:pt idx="21">
                  <c:v>6.8389367669751673</c:v>
                </c:pt>
                <c:pt idx="22">
                  <c:v>6.2031731981670291</c:v>
                </c:pt>
                <c:pt idx="23">
                  <c:v>9.608322876774281</c:v>
                </c:pt>
                <c:pt idx="24">
                  <c:v>8.2080991638713332</c:v>
                </c:pt>
                <c:pt idx="25">
                  <c:v>10.795030638909601</c:v>
                </c:pt>
                <c:pt idx="26">
                  <c:v>9.9406684789797772</c:v>
                </c:pt>
                <c:pt idx="27">
                  <c:v>7.6699085645929568</c:v>
                </c:pt>
                <c:pt idx="28">
                  <c:v>6.1233547438995259</c:v>
                </c:pt>
                <c:pt idx="29">
                  <c:v>6.1359189433264092</c:v>
                </c:pt>
              </c:numCache>
            </c:numRef>
          </c:yVal>
          <c:smooth val="0"/>
          <c:extLst>
            <c:ext xmlns:c16="http://schemas.microsoft.com/office/drawing/2014/chart" uri="{C3380CC4-5D6E-409C-BE32-E72D297353CC}">
              <c16:uniqueId val="{00000003-3F21-4C88-BC4F-39B9175B5217}"/>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m!$DU$116:$DX$116</c:f>
              <c:numCache>
                <c:formatCode>General</c:formatCode>
                <c:ptCount val="4"/>
                <c:pt idx="1">
                  <c:v>2.3637377208065198E-2</c:v>
                </c:pt>
              </c:numCache>
            </c:numRef>
          </c:xVal>
          <c:yVal>
            <c:numRef>
              <c:f>m!$DU$95:$DX$95</c:f>
              <c:numCache>
                <c:formatCode>General</c:formatCode>
                <c:ptCount val="4"/>
                <c:pt idx="1">
                  <c:v>11.627400337732656</c:v>
                </c:pt>
              </c:numCache>
            </c:numRef>
          </c:yVal>
          <c:smooth val="0"/>
          <c:extLst>
            <c:ext xmlns:c16="http://schemas.microsoft.com/office/drawing/2014/chart" uri="{C3380CC4-5D6E-409C-BE32-E72D297353CC}">
              <c16:uniqueId val="{00000004-3F21-4C88-BC4F-39B9175B5217}"/>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m!$DY$116:$EL$116</c:f>
              <c:numCache>
                <c:formatCode>General</c:formatCode>
                <c:ptCount val="14"/>
                <c:pt idx="0">
                  <c:v>1.7282018840389063E-3</c:v>
                </c:pt>
                <c:pt idx="1">
                  <c:v>2.4377128399842907E-2</c:v>
                </c:pt>
                <c:pt idx="2">
                  <c:v>4.764676816891715E-2</c:v>
                </c:pt>
                <c:pt idx="3">
                  <c:v>7.4778499066735657E-2</c:v>
                </c:pt>
                <c:pt idx="4">
                  <c:v>0.11872784661268407</c:v>
                </c:pt>
                <c:pt idx="5">
                  <c:v>0.16359018452334431</c:v>
                </c:pt>
                <c:pt idx="6">
                  <c:v>0.20502759546987959</c:v>
                </c:pt>
                <c:pt idx="7">
                  <c:v>0.29086421575615345</c:v>
                </c:pt>
                <c:pt idx="8">
                  <c:v>0.42257124857857131</c:v>
                </c:pt>
                <c:pt idx="10">
                  <c:v>0.82334181987871247</c:v>
                </c:pt>
                <c:pt idx="11">
                  <c:v>0.82114569258062464</c:v>
                </c:pt>
                <c:pt idx="13">
                  <c:v>0.58710116358467423</c:v>
                </c:pt>
              </c:numCache>
            </c:numRef>
          </c:xVal>
          <c:yVal>
            <c:numRef>
              <c:f>m!$DY$95:$EL$95</c:f>
              <c:numCache>
                <c:formatCode>General</c:formatCode>
                <c:ptCount val="14"/>
                <c:pt idx="0">
                  <c:v>11.841933921401584</c:v>
                </c:pt>
                <c:pt idx="1">
                  <c:v>10.112716420782542</c:v>
                </c:pt>
                <c:pt idx="2">
                  <c:v>10.75326981223963</c:v>
                </c:pt>
                <c:pt idx="3">
                  <c:v>12.593437950738654</c:v>
                </c:pt>
                <c:pt idx="4">
                  <c:v>9.9708079988168254</c:v>
                </c:pt>
                <c:pt idx="5">
                  <c:v>12.57159489291657</c:v>
                </c:pt>
                <c:pt idx="6">
                  <c:v>11.025393435074347</c:v>
                </c:pt>
                <c:pt idx="7">
                  <c:v>8.8729996804417208</c:v>
                </c:pt>
                <c:pt idx="8">
                  <c:v>12.254596368878824</c:v>
                </c:pt>
                <c:pt idx="10">
                  <c:v>9.2304269063872528</c:v>
                </c:pt>
                <c:pt idx="11">
                  <c:v>10.128045629794443</c:v>
                </c:pt>
                <c:pt idx="13">
                  <c:v>8.7481293899266319</c:v>
                </c:pt>
              </c:numCache>
            </c:numRef>
          </c:yVal>
          <c:smooth val="0"/>
          <c:extLst>
            <c:ext xmlns:c16="http://schemas.microsoft.com/office/drawing/2014/chart" uri="{C3380CC4-5D6E-409C-BE32-E72D297353CC}">
              <c16:uniqueId val="{00000005-3F21-4C88-BC4F-39B9175B5217}"/>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m!$AF$116:$AO$116</c:f>
              <c:numCache>
                <c:formatCode>General</c:formatCode>
                <c:ptCount val="10"/>
                <c:pt idx="6">
                  <c:v>9.159471421134345E-3</c:v>
                </c:pt>
                <c:pt idx="7">
                  <c:v>1.2304433621974654E-2</c:v>
                </c:pt>
                <c:pt idx="8">
                  <c:v>1.562866077933359E-2</c:v>
                </c:pt>
                <c:pt idx="9">
                  <c:v>1.9903312746393294E-2</c:v>
                </c:pt>
              </c:numCache>
            </c:numRef>
          </c:xVal>
          <c:yVal>
            <c:numRef>
              <c:f>m!$AF$96:$AO$96</c:f>
              <c:numCache>
                <c:formatCode>General</c:formatCode>
                <c:ptCount val="10"/>
                <c:pt idx="6">
                  <c:v>4.6527598235675249</c:v>
                </c:pt>
                <c:pt idx="7">
                  <c:v>4.2805274655235781</c:v>
                </c:pt>
                <c:pt idx="8">
                  <c:v>3.4393569277814708</c:v>
                </c:pt>
                <c:pt idx="9">
                  <c:v>3.6129037340831314</c:v>
                </c:pt>
              </c:numCache>
            </c:numRef>
          </c:yVal>
          <c:smooth val="0"/>
          <c:extLst>
            <c:ext xmlns:c16="http://schemas.microsoft.com/office/drawing/2014/chart" uri="{C3380CC4-5D6E-409C-BE32-E72D297353CC}">
              <c16:uniqueId val="{00000006-3F21-4C88-BC4F-39B9175B5217}"/>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m!$AP$116:$BL$116</c:f>
              <c:numCache>
                <c:formatCode>General</c:formatCode>
                <c:ptCount val="23"/>
                <c:pt idx="0">
                  <c:v>4.3532176926543202E-4</c:v>
                </c:pt>
                <c:pt idx="1">
                  <c:v>1.6735974820352064E-3</c:v>
                </c:pt>
                <c:pt idx="2">
                  <c:v>6.9940306070295421E-3</c:v>
                </c:pt>
                <c:pt idx="3">
                  <c:v>1.7920184128902159E-2</c:v>
                </c:pt>
                <c:pt idx="4">
                  <c:v>3.5947557614726365E-2</c:v>
                </c:pt>
                <c:pt idx="6">
                  <c:v>8.8508032311358786E-2</c:v>
                </c:pt>
                <c:pt idx="12">
                  <c:v>0.3357340591684066</c:v>
                </c:pt>
                <c:pt idx="19">
                  <c:v>9.6638094769529244E-4</c:v>
                </c:pt>
                <c:pt idx="20">
                  <c:v>3.841232416574184E-3</c:v>
                </c:pt>
                <c:pt idx="21">
                  <c:v>1.7719079131209466E-3</c:v>
                </c:pt>
              </c:numCache>
            </c:numRef>
          </c:xVal>
          <c:yVal>
            <c:numRef>
              <c:f>m!$AP$96:$BL$96</c:f>
              <c:numCache>
                <c:formatCode>General</c:formatCode>
                <c:ptCount val="23"/>
                <c:pt idx="0">
                  <c:v>5.4755784611121161</c:v>
                </c:pt>
                <c:pt idx="1">
                  <c:v>5.1682826595532747</c:v>
                </c:pt>
                <c:pt idx="2">
                  <c:v>3.0985995787371445</c:v>
                </c:pt>
                <c:pt idx="3">
                  <c:v>3.134879815279314</c:v>
                </c:pt>
                <c:pt idx="4">
                  <c:v>3.0033011206407316</c:v>
                </c:pt>
                <c:pt idx="6">
                  <c:v>2.9529997740314693</c:v>
                </c:pt>
                <c:pt idx="12">
                  <c:v>2.536745078640724</c:v>
                </c:pt>
                <c:pt idx="19">
                  <c:v>5.2461545091174413</c:v>
                </c:pt>
                <c:pt idx="20">
                  <c:v>3.8667689214808134</c:v>
                </c:pt>
                <c:pt idx="21">
                  <c:v>5.2126574434788768</c:v>
                </c:pt>
              </c:numCache>
            </c:numRef>
          </c:yVal>
          <c:smooth val="0"/>
          <c:extLst>
            <c:ext xmlns:c16="http://schemas.microsoft.com/office/drawing/2014/chart" uri="{C3380CC4-5D6E-409C-BE32-E72D297353CC}">
              <c16:uniqueId val="{00000007-3F21-4C88-BC4F-39B9175B5217}"/>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m!$BM$116:$CO$116</c:f>
              <c:numCache>
                <c:formatCode>General</c:formatCode>
                <c:ptCount val="29"/>
                <c:pt idx="0">
                  <c:v>0.21964100117301208</c:v>
                </c:pt>
                <c:pt idx="1">
                  <c:v>1.0573585895566537</c:v>
                </c:pt>
                <c:pt idx="3">
                  <c:v>8.865907770015774E-2</c:v>
                </c:pt>
                <c:pt idx="4">
                  <c:v>0.16775406115395691</c:v>
                </c:pt>
                <c:pt idx="5">
                  <c:v>0.30552471664921405</c:v>
                </c:pt>
                <c:pt idx="6">
                  <c:v>0.44009573900931581</c:v>
                </c:pt>
                <c:pt idx="7">
                  <c:v>0.59643405491107793</c:v>
                </c:pt>
                <c:pt idx="8">
                  <c:v>0.7859064463597959</c:v>
                </c:pt>
                <c:pt idx="9">
                  <c:v>1.0440378462005988</c:v>
                </c:pt>
                <c:pt idx="10">
                  <c:v>1.5172221319173158</c:v>
                </c:pt>
                <c:pt idx="11">
                  <c:v>1.7737833961640876</c:v>
                </c:pt>
                <c:pt idx="12">
                  <c:v>1.9122594371008936</c:v>
                </c:pt>
                <c:pt idx="13">
                  <c:v>9.7839964241909216E-2</c:v>
                </c:pt>
                <c:pt idx="14">
                  <c:v>0.79202530080420708</c:v>
                </c:pt>
                <c:pt idx="15">
                  <c:v>0.80423469614236642</c:v>
                </c:pt>
                <c:pt idx="16">
                  <c:v>1.9610008681225588</c:v>
                </c:pt>
                <c:pt idx="17">
                  <c:v>2.2215382573810976</c:v>
                </c:pt>
                <c:pt idx="18">
                  <c:v>2.6039993922151998</c:v>
                </c:pt>
                <c:pt idx="19">
                  <c:v>3.0076323209878808</c:v>
                </c:pt>
              </c:numCache>
            </c:numRef>
          </c:xVal>
          <c:yVal>
            <c:numRef>
              <c:f>m!$BM$96:$CO$96</c:f>
              <c:numCache>
                <c:formatCode>General</c:formatCode>
                <c:ptCount val="29"/>
                <c:pt idx="0">
                  <c:v>7.7033235890944756</c:v>
                </c:pt>
                <c:pt idx="1">
                  <c:v>9.1444916587946974</c:v>
                </c:pt>
                <c:pt idx="3">
                  <c:v>8.7140648971788437</c:v>
                </c:pt>
                <c:pt idx="4">
                  <c:v>12.927157671770168</c:v>
                </c:pt>
                <c:pt idx="5">
                  <c:v>8.3600761384121469</c:v>
                </c:pt>
                <c:pt idx="6">
                  <c:v>8.9999781210833945</c:v>
                </c:pt>
                <c:pt idx="7">
                  <c:v>11.710147435168425</c:v>
                </c:pt>
                <c:pt idx="8">
                  <c:v>9.6604016799591612</c:v>
                </c:pt>
                <c:pt idx="9">
                  <c:v>8.9844518836473455</c:v>
                </c:pt>
                <c:pt idx="10">
                  <c:v>8.1478940601600911</c:v>
                </c:pt>
                <c:pt idx="11">
                  <c:v>7.9194530647955013</c:v>
                </c:pt>
                <c:pt idx="12">
                  <c:v>8.4688373486197897</c:v>
                </c:pt>
                <c:pt idx="13">
                  <c:v>8.1654266073084845</c:v>
                </c:pt>
                <c:pt idx="14">
                  <c:v>10.157317419596724</c:v>
                </c:pt>
                <c:pt idx="15">
                  <c:v>8.4459765120883326</c:v>
                </c:pt>
                <c:pt idx="16">
                  <c:v>8.8566927659923493</c:v>
                </c:pt>
                <c:pt idx="17">
                  <c:v>7.9864493524762779</c:v>
                </c:pt>
                <c:pt idx="18">
                  <c:v>7.5929751024784267</c:v>
                </c:pt>
                <c:pt idx="19">
                  <c:v>7.0417931291632536</c:v>
                </c:pt>
              </c:numCache>
            </c:numRef>
          </c:yVal>
          <c:smooth val="0"/>
          <c:extLst>
            <c:ext xmlns:c16="http://schemas.microsoft.com/office/drawing/2014/chart" uri="{C3380CC4-5D6E-409C-BE32-E72D297353CC}">
              <c16:uniqueId val="{00000008-3F21-4C88-BC4F-39B9175B5217}"/>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m!$CP$116:$DT$116</c:f>
              <c:numCache>
                <c:formatCode>General</c:formatCode>
                <c:ptCount val="31"/>
                <c:pt idx="0">
                  <c:v>1.7973450156954836E-2</c:v>
                </c:pt>
                <c:pt idx="1">
                  <c:v>3.7815075671765917E-2</c:v>
                </c:pt>
                <c:pt idx="2">
                  <c:v>6.8343610442249583E-2</c:v>
                </c:pt>
                <c:pt idx="3">
                  <c:v>9.7142560717807358E-2</c:v>
                </c:pt>
                <c:pt idx="4">
                  <c:v>0.13720511442321795</c:v>
                </c:pt>
                <c:pt idx="5">
                  <c:v>0.19323660709632506</c:v>
                </c:pt>
                <c:pt idx="6">
                  <c:v>0.24462452314102054</c:v>
                </c:pt>
                <c:pt idx="7">
                  <c:v>0.27536769069321271</c:v>
                </c:pt>
                <c:pt idx="8">
                  <c:v>0.32241984763508624</c:v>
                </c:pt>
                <c:pt idx="9">
                  <c:v>0.41367648903987442</c:v>
                </c:pt>
                <c:pt idx="10">
                  <c:v>0.45780633070722754</c:v>
                </c:pt>
                <c:pt idx="11">
                  <c:v>0.53544075613542574</c:v>
                </c:pt>
                <c:pt idx="12">
                  <c:v>0.57422414424199064</c:v>
                </c:pt>
                <c:pt idx="14">
                  <c:v>0.58673649393143035</c:v>
                </c:pt>
                <c:pt idx="15">
                  <c:v>8.1098027952700436E-3</c:v>
                </c:pt>
                <c:pt idx="18">
                  <c:v>0.87822445379706948</c:v>
                </c:pt>
                <c:pt idx="19">
                  <c:v>1.0523623286780133</c:v>
                </c:pt>
                <c:pt idx="20">
                  <c:v>1.2341309808520879</c:v>
                </c:pt>
                <c:pt idx="21">
                  <c:v>1.4242547890003812</c:v>
                </c:pt>
                <c:pt idx="22">
                  <c:v>1.5889498437357472</c:v>
                </c:pt>
                <c:pt idx="23">
                  <c:v>1.2312565385056602E-3</c:v>
                </c:pt>
                <c:pt idx="24">
                  <c:v>5.8867899977585233E-3</c:v>
                </c:pt>
                <c:pt idx="25">
                  <c:v>2.5214135418066752E-3</c:v>
                </c:pt>
                <c:pt idx="26">
                  <c:v>1.155064261705315E-2</c:v>
                </c:pt>
                <c:pt idx="27">
                  <c:v>4.54560644894821E-3</c:v>
                </c:pt>
                <c:pt idx="28">
                  <c:v>1.1138071558024216</c:v>
                </c:pt>
                <c:pt idx="29">
                  <c:v>1.4255467557422841</c:v>
                </c:pt>
              </c:numCache>
            </c:numRef>
          </c:xVal>
          <c:yVal>
            <c:numRef>
              <c:f>m!$CP$96:$DT$96</c:f>
              <c:numCache>
                <c:formatCode>General</c:formatCode>
                <c:ptCount val="31"/>
                <c:pt idx="0">
                  <c:v>6.6249810457925706</c:v>
                </c:pt>
                <c:pt idx="1">
                  <c:v>5.9447274054537775</c:v>
                </c:pt>
                <c:pt idx="2">
                  <c:v>4.3790295625014277</c:v>
                </c:pt>
                <c:pt idx="3">
                  <c:v>7.0215974595106143</c:v>
                </c:pt>
                <c:pt idx="4">
                  <c:v>5.4768436761823818</c:v>
                </c:pt>
                <c:pt idx="5">
                  <c:v>4.8822056936446092</c:v>
                </c:pt>
                <c:pt idx="6">
                  <c:v>4.4672288224686083</c:v>
                </c:pt>
                <c:pt idx="7">
                  <c:v>6.5369518717044457</c:v>
                </c:pt>
                <c:pt idx="8">
                  <c:v>7.9590472097189648</c:v>
                </c:pt>
                <c:pt idx="9">
                  <c:v>5.4878070883378705</c:v>
                </c:pt>
                <c:pt idx="10">
                  <c:v>6.5026988056572304</c:v>
                </c:pt>
                <c:pt idx="11">
                  <c:v>6.329848379965453</c:v>
                </c:pt>
                <c:pt idx="12">
                  <c:v>6.2013253457317621</c:v>
                </c:pt>
                <c:pt idx="14">
                  <c:v>5.2492619268133645</c:v>
                </c:pt>
                <c:pt idx="15">
                  <c:v>6.3209002515631276</c:v>
                </c:pt>
                <c:pt idx="18">
                  <c:v>6.4868297836002924</c:v>
                </c:pt>
                <c:pt idx="19">
                  <c:v>5.827620282954654</c:v>
                </c:pt>
                <c:pt idx="20">
                  <c:v>7.0663143302767422</c:v>
                </c:pt>
                <c:pt idx="21">
                  <c:v>5.9628619384453367</c:v>
                </c:pt>
                <c:pt idx="22">
                  <c:v>5.5226853762264438</c:v>
                </c:pt>
                <c:pt idx="23">
                  <c:v>9.7019903060697743</c:v>
                </c:pt>
                <c:pt idx="24">
                  <c:v>7.6053639768993335</c:v>
                </c:pt>
                <c:pt idx="25">
                  <c:v>7.5584542426748964</c:v>
                </c:pt>
                <c:pt idx="26">
                  <c:v>6.9427008530083283</c:v>
                </c:pt>
                <c:pt idx="27">
                  <c:v>6.4055240885023839</c:v>
                </c:pt>
                <c:pt idx="28">
                  <c:v>5.9595789339150782</c:v>
                </c:pt>
                <c:pt idx="29">
                  <c:v>5.8625018670641422</c:v>
                </c:pt>
              </c:numCache>
            </c:numRef>
          </c:yVal>
          <c:smooth val="0"/>
          <c:extLst>
            <c:ext xmlns:c16="http://schemas.microsoft.com/office/drawing/2014/chart" uri="{C3380CC4-5D6E-409C-BE32-E72D297353CC}">
              <c16:uniqueId val="{00000009-3F21-4C88-BC4F-39B9175B5217}"/>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m!$DU$116:$DX$116</c:f>
              <c:numCache>
                <c:formatCode>General</c:formatCode>
                <c:ptCount val="4"/>
                <c:pt idx="1">
                  <c:v>2.3637377208065198E-2</c:v>
                </c:pt>
              </c:numCache>
            </c:numRef>
          </c:xVal>
          <c:yVal>
            <c:numRef>
              <c:f>m!$DU$96:$DX$96</c:f>
              <c:numCache>
                <c:formatCode>General</c:formatCode>
                <c:ptCount val="4"/>
                <c:pt idx="1">
                  <c:v>8.5837852954236631</c:v>
                </c:pt>
              </c:numCache>
            </c:numRef>
          </c:yVal>
          <c:smooth val="0"/>
          <c:extLst>
            <c:ext xmlns:c16="http://schemas.microsoft.com/office/drawing/2014/chart" uri="{C3380CC4-5D6E-409C-BE32-E72D297353CC}">
              <c16:uniqueId val="{0000000A-3F21-4C88-BC4F-39B9175B5217}"/>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m!$DY$116:$EL$116</c:f>
              <c:numCache>
                <c:formatCode>General</c:formatCode>
                <c:ptCount val="14"/>
                <c:pt idx="0">
                  <c:v>1.7282018840389063E-3</c:v>
                </c:pt>
                <c:pt idx="1">
                  <c:v>2.4377128399842907E-2</c:v>
                </c:pt>
                <c:pt idx="2">
                  <c:v>4.764676816891715E-2</c:v>
                </c:pt>
                <c:pt idx="3">
                  <c:v>7.4778499066735657E-2</c:v>
                </c:pt>
                <c:pt idx="4">
                  <c:v>0.11872784661268407</c:v>
                </c:pt>
                <c:pt idx="5">
                  <c:v>0.16359018452334431</c:v>
                </c:pt>
                <c:pt idx="6">
                  <c:v>0.20502759546987959</c:v>
                </c:pt>
                <c:pt idx="7">
                  <c:v>0.29086421575615345</c:v>
                </c:pt>
                <c:pt idx="8">
                  <c:v>0.42257124857857131</c:v>
                </c:pt>
                <c:pt idx="10">
                  <c:v>0.82334181987871247</c:v>
                </c:pt>
                <c:pt idx="11">
                  <c:v>0.82114569258062464</c:v>
                </c:pt>
                <c:pt idx="13">
                  <c:v>0.58710116358467423</c:v>
                </c:pt>
              </c:numCache>
            </c:numRef>
          </c:xVal>
          <c:yVal>
            <c:numRef>
              <c:f>m!$DY$96:$EL$96</c:f>
              <c:numCache>
                <c:formatCode>General</c:formatCode>
                <c:ptCount val="14"/>
                <c:pt idx="0">
                  <c:v>8.0736939293288259</c:v>
                </c:pt>
                <c:pt idx="1">
                  <c:v>8.5723204770723118</c:v>
                </c:pt>
                <c:pt idx="2">
                  <c:v>9.3688715981853772</c:v>
                </c:pt>
                <c:pt idx="3">
                  <c:v>11.808645757253798</c:v>
                </c:pt>
                <c:pt idx="4">
                  <c:v>9.3027335683988124</c:v>
                </c:pt>
                <c:pt idx="5">
                  <c:v>8.8407959437509973</c:v>
                </c:pt>
                <c:pt idx="6">
                  <c:v>9.4797698241348378</c:v>
                </c:pt>
                <c:pt idx="7">
                  <c:v>7.8622566156607085</c:v>
                </c:pt>
                <c:pt idx="8">
                  <c:v>9.6176111415033159</c:v>
                </c:pt>
                <c:pt idx="10">
                  <c:v>7.4199267899654808</c:v>
                </c:pt>
                <c:pt idx="11">
                  <c:v>7.9053481326688049</c:v>
                </c:pt>
                <c:pt idx="13">
                  <c:v>7.3530728474436851</c:v>
                </c:pt>
              </c:numCache>
            </c:numRef>
          </c:yVal>
          <c:smooth val="0"/>
          <c:extLst>
            <c:ext xmlns:c16="http://schemas.microsoft.com/office/drawing/2014/chart" uri="{C3380CC4-5D6E-409C-BE32-E72D297353CC}">
              <c16:uniqueId val="{0000000B-3F21-4C88-BC4F-39B9175B5217}"/>
            </c:ext>
          </c:extLst>
        </c:ser>
        <c:dLbls>
          <c:showLegendKey val="0"/>
          <c:showVal val="0"/>
          <c:showCatName val="0"/>
          <c:showSerName val="0"/>
          <c:showPercent val="0"/>
          <c:showBubbleSize val="0"/>
        </c:dLbls>
        <c:axId val="624399680"/>
        <c:axId val="624400008"/>
        <c:extLst>
          <c:ext xmlns:c15="http://schemas.microsoft.com/office/drawing/2012/chart" uri="{02D57815-91ED-43cb-92C2-25804820EDAC}">
            <c15:filteredScatterSeries>
              <c15:ser>
                <c:idx val="1"/>
                <c:order val="12"/>
                <c:tx>
                  <c:v>In Line, OL</c:v>
                </c:tx>
                <c:spPr>
                  <a:ln w="25400" cap="rnd">
                    <a:noFill/>
                    <a:round/>
                  </a:ln>
                  <a:effectLst/>
                </c:spPr>
                <c:marker>
                  <c:symbol val="circle"/>
                  <c:size val="7"/>
                  <c:spPr>
                    <a:noFill/>
                    <a:ln w="15875">
                      <a:solidFill>
                        <a:schemeClr val="tx1"/>
                      </a:solidFill>
                    </a:ln>
                    <a:effectLst/>
                  </c:spPr>
                </c:marker>
                <c:xVal>
                  <c:numRef>
                    <c:extLst>
                      <c:ext uri="{02D57815-91ED-43cb-92C2-25804820EDAC}">
                        <c15:formulaRef>
                          <c15:sqref>m!$AF$86:$AO$86</c15:sqref>
                        </c15:formulaRef>
                      </c:ext>
                    </c:extLst>
                    <c:numCache>
                      <c:formatCode>General</c:formatCode>
                      <c:ptCount val="10"/>
                      <c:pt idx="6">
                        <c:v>2.60569650261762</c:v>
                      </c:pt>
                      <c:pt idx="7">
                        <c:v>2.8052504067622763</c:v>
                      </c:pt>
                      <c:pt idx="8">
                        <c:v>2.9780821140943421</c:v>
                      </c:pt>
                      <c:pt idx="9">
                        <c:v>3.163643721763262</c:v>
                      </c:pt>
                    </c:numCache>
                  </c:numRef>
                </c:xVal>
                <c:yVal>
                  <c:numRef>
                    <c:extLst>
                      <c:ext uri="{02D57815-91ED-43cb-92C2-25804820EDAC}">
                        <c15:formulaRef>
                          <c15:sqref>m!$AF$91:$AO$91</c15:sqref>
                        </c15:formulaRef>
                      </c:ext>
                    </c:extLst>
                    <c:numCache>
                      <c:formatCode>General</c:formatCode>
                      <c:ptCount val="10"/>
                      <c:pt idx="6">
                        <c:v>3.9502776072221706</c:v>
                      </c:pt>
                      <c:pt idx="7">
                        <c:v>3.8204481933278442</c:v>
                      </c:pt>
                      <c:pt idx="8">
                        <c:v>2.8990463053331168</c:v>
                      </c:pt>
                      <c:pt idx="9">
                        <c:v>3.0460998559525874</c:v>
                      </c:pt>
                    </c:numCache>
                  </c:numRef>
                </c:yVal>
                <c:smooth val="0"/>
                <c:extLst>
                  <c:ext xmlns:c16="http://schemas.microsoft.com/office/drawing/2014/chart" uri="{C3380CC4-5D6E-409C-BE32-E72D297353CC}">
                    <c16:uniqueId val="{0000000C-3F21-4C88-BC4F-39B9175B5217}"/>
                  </c:ext>
                </c:extLst>
              </c15:ser>
            </c15:filteredScatterSeries>
            <c15:filteredScatterSeries>
              <c15:ser>
                <c:idx val="2"/>
                <c:order val="13"/>
                <c:tx>
                  <c:v>In Line, EM</c:v>
                </c:tx>
                <c:spPr>
                  <a:ln w="25400" cap="rnd">
                    <a:noFill/>
                    <a:round/>
                  </a:ln>
                  <a:effectLst/>
                </c:spPr>
                <c:marker>
                  <c:symbol val="circle"/>
                  <c:size val="7"/>
                  <c:spPr>
                    <a:noFill/>
                    <a:ln w="15875">
                      <a:solidFill>
                        <a:schemeClr val="accent3"/>
                      </a:solidFill>
                    </a:ln>
                    <a:effectLst/>
                  </c:spPr>
                </c:marker>
                <c:xVal>
                  <c:numRef>
                    <c:extLst xmlns:c15="http://schemas.microsoft.com/office/drawing/2012/chart">
                      <c:ext xmlns:c15="http://schemas.microsoft.com/office/drawing/2012/chart" uri="{02D57815-91ED-43cb-92C2-25804820EDAC}">
                        <c15:formulaRef>
                          <c15:sqref>m!$AP$86:$BL$86</c15:sqref>
                        </c15:formulaRef>
                      </c:ext>
                    </c:extLst>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extLst xmlns:c15="http://schemas.microsoft.com/office/drawing/2012/chart">
                      <c:ext xmlns:c15="http://schemas.microsoft.com/office/drawing/2012/chart" uri="{02D57815-91ED-43cb-92C2-25804820EDAC}">
                        <c15:formulaRef>
                          <c15:sqref>m!$AP$91:$BL$91</c15:sqref>
                        </c15:formulaRef>
                      </c:ext>
                    </c:extLst>
                    <c:numCache>
                      <c:formatCode>General</c:formatCode>
                      <c:ptCount val="23"/>
                      <c:pt idx="0">
                        <c:v>3.9015319384578984</c:v>
                      </c:pt>
                      <c:pt idx="1">
                        <c:v>4.0324241551015083</c:v>
                      </c:pt>
                      <c:pt idx="2">
                        <c:v>2.4087539710783048</c:v>
                      </c:pt>
                      <c:pt idx="3">
                        <c:v>2.5988468550675954</c:v>
                      </c:pt>
                      <c:pt idx="4">
                        <c:v>2.4975377660733624</c:v>
                      </c:pt>
                      <c:pt idx="6">
                        <c:v>2.4940490859525726</c:v>
                      </c:pt>
                      <c:pt idx="12">
                        <c:v>2.077389993099553</c:v>
                      </c:pt>
                      <c:pt idx="19">
                        <c:v>3.887685418105959</c:v>
                      </c:pt>
                      <c:pt idx="20">
                        <c:v>3.0668865507265997</c:v>
                      </c:pt>
                      <c:pt idx="21">
                        <c:v>4.0491103337392174</c:v>
                      </c:pt>
                    </c:numCache>
                  </c:numRef>
                </c:yVal>
                <c:smooth val="0"/>
                <c:extLst xmlns:c15="http://schemas.microsoft.com/office/drawing/2012/chart">
                  <c:ext xmlns:c16="http://schemas.microsoft.com/office/drawing/2014/chart" uri="{C3380CC4-5D6E-409C-BE32-E72D297353CC}">
                    <c16:uniqueId val="{0000000D-3F21-4C88-BC4F-39B9175B5217}"/>
                  </c:ext>
                </c:extLst>
              </c15:ser>
            </c15:filteredScatterSeries>
            <c15:filteredScatterSeries>
              <c15:ser>
                <c:idx val="3"/>
                <c:order val="14"/>
                <c:tx>
                  <c:v>In Line, Shell</c:v>
                </c:tx>
                <c:spPr>
                  <a:ln w="25400" cap="rnd">
                    <a:noFill/>
                    <a:round/>
                  </a:ln>
                  <a:effectLst/>
                </c:spPr>
                <c:marker>
                  <c:symbol val="circle"/>
                  <c:size val="7"/>
                  <c:spPr>
                    <a:noFill/>
                    <a:ln w="15875">
                      <a:solidFill>
                        <a:schemeClr val="accent2"/>
                      </a:solidFill>
                    </a:ln>
                    <a:effectLst/>
                  </c:spPr>
                </c:marker>
                <c:xVal>
                  <c:numRef>
                    <c:extLst xmlns:c15="http://schemas.microsoft.com/office/drawing/2012/chart">
                      <c:ext xmlns:c15="http://schemas.microsoft.com/office/drawing/2012/chart" uri="{02D57815-91ED-43cb-92C2-25804820EDAC}">
                        <c15:formulaRef>
                          <c15:sqref>m!$DU$86:$DX$86</c15:sqref>
                        </c15:formulaRef>
                      </c:ext>
                    </c:extLst>
                    <c:numCache>
                      <c:formatCode>General</c:formatCode>
                      <c:ptCount val="4"/>
                      <c:pt idx="1">
                        <c:v>3.8469075681895233</c:v>
                      </c:pt>
                    </c:numCache>
                  </c:numRef>
                </c:xVal>
                <c:yVal>
                  <c:numRef>
                    <c:extLst xmlns:c15="http://schemas.microsoft.com/office/drawing/2012/chart">
                      <c:ext xmlns:c15="http://schemas.microsoft.com/office/drawing/2012/chart" uri="{02D57815-91ED-43cb-92C2-25804820EDAC}">
                        <c15:formulaRef>
                          <c15:sqref>m!$DU$91:$DX$91</c15:sqref>
                        </c15:formulaRef>
                      </c:ext>
                    </c:extLst>
                    <c:numCache>
                      <c:formatCode>General</c:formatCode>
                      <c:ptCount val="4"/>
                      <c:pt idx="1">
                        <c:v>5.9805420003862961</c:v>
                      </c:pt>
                    </c:numCache>
                  </c:numRef>
                </c:yVal>
                <c:smooth val="0"/>
                <c:extLst xmlns:c15="http://schemas.microsoft.com/office/drawing/2012/chart">
                  <c:ext xmlns:c16="http://schemas.microsoft.com/office/drawing/2014/chart" uri="{C3380CC4-5D6E-409C-BE32-E72D297353CC}">
                    <c16:uniqueId val="{0000000E-3F21-4C88-BC4F-39B9175B5217}"/>
                  </c:ext>
                </c:extLst>
              </c15:ser>
            </c15:filteredScatterSeries>
          </c:ext>
        </c:extLst>
      </c:scatterChart>
      <c:valAx>
        <c:axId val="624399680"/>
        <c:scaling>
          <c:logBase val="10"/>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Relative Error for Axial Inertia of Inextensible Pipe, ψ</a:t>
                </a:r>
                <a:r>
                  <a:rPr lang="en-US" sz="1400" b="0" i="0" u="none" strike="noStrike" baseline="-25000">
                    <a:effectLst/>
                  </a:rPr>
                  <a:t>ai2</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baseline="0">
                    <a:effectLst/>
                  </a:rPr>
                  <a:t>Normalized Fatigue-Equivalent Strain Amplitude,   ϵ̃</a:t>
                </a:r>
                <a:r>
                  <a:rPr lang="en-US" sz="1400" b="0" i="0" baseline="-25000">
                    <a:effectLst/>
                  </a:rPr>
                  <a:t>e</a:t>
                </a:r>
                <a:r>
                  <a:rPr lang="en-US" sz="1400" b="0" i="0" baseline="0">
                    <a:effectLst/>
                  </a:rPr>
                  <a:t> = ϵ</a:t>
                </a:r>
                <a:r>
                  <a:rPr lang="en-US" sz="1400" b="0" i="0" baseline="-25000">
                    <a:effectLst/>
                  </a:rPr>
                  <a:t>e</a:t>
                </a:r>
                <a:r>
                  <a:rPr lang="en-US" sz="1400" b="0" i="0" baseline="0">
                    <a:effectLst/>
                  </a:rPr>
                  <a:t>/(R</a:t>
                </a:r>
                <a:r>
                  <a:rPr lang="en-US" sz="1400" b="0" i="0" baseline="-25000">
                    <a:effectLst/>
                  </a:rPr>
                  <a:t>ϵ</a:t>
                </a:r>
                <a:r>
                  <a:rPr lang="en-US" sz="1400" b="0" i="0" baseline="0">
                    <a:effectLst/>
                  </a:rPr>
                  <a:t>D/L</a:t>
                </a:r>
                <a:r>
                  <a:rPr lang="en-US" sz="1400" b="0" i="0" baseline="-25000">
                    <a:effectLst/>
                  </a:rPr>
                  <a:t>st</a:t>
                </a:r>
                <a:r>
                  <a:rPr lang="en-US" sz="1400" b="0" i="0" baseline="30000">
                    <a:effectLst/>
                  </a:rPr>
                  <a:t>2</a:t>
                </a:r>
                <a:r>
                  <a:rPr lang="en-US" sz="1400" b="0" i="0" baseline="0">
                    <a:effectLst/>
                  </a:rPr>
                  <a:t>)</a:t>
                </a:r>
                <a:endParaRPr lang="en-US" sz="1400">
                  <a:effectLst/>
                </a:endParaRPr>
              </a:p>
            </c:rich>
          </c:tx>
          <c:layout>
            <c:manualLayout>
              <c:xMode val="edge"/>
              <c:yMode val="edge"/>
              <c:x val="1.2786980528916013E-2"/>
              <c:y val="5.1139526362623478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11"/>
          <c:order val="2"/>
          <c:tx>
            <c:v>CF, Pipe 1</c:v>
          </c:tx>
          <c:spPr>
            <a:ln w="25400" cap="rnd">
              <a:noFill/>
              <a:round/>
            </a:ln>
            <a:effectLst/>
          </c:spPr>
          <c:marker>
            <c:symbol val="x"/>
            <c:size val="7"/>
            <c:spPr>
              <a:noFill/>
              <a:ln w="15875">
                <a:solidFill>
                  <a:schemeClr val="accent6"/>
                </a:solidFill>
              </a:ln>
              <a:effectLst/>
            </c:spPr>
          </c:marker>
          <c:xVal>
            <c:numRef>
              <c:f>m!$BM$117:$CO$117</c:f>
              <c:numCache>
                <c:formatCode>General</c:formatCode>
                <c:ptCount val="29"/>
                <c:pt idx="0">
                  <c:v>2.8568683159214134</c:v>
                </c:pt>
                <c:pt idx="1">
                  <c:v>5.8851003294081572</c:v>
                </c:pt>
                <c:pt idx="3">
                  <c:v>3.1898455832120436</c:v>
                </c:pt>
                <c:pt idx="4">
                  <c:v>3.8275716679340666</c:v>
                </c:pt>
                <c:pt idx="5">
                  <c:v>4.4642158392335665</c:v>
                </c:pt>
                <c:pt idx="6">
                  <c:v>5.1037485295618303</c:v>
                </c:pt>
                <c:pt idx="7">
                  <c:v>5.7396683882963568</c:v>
                </c:pt>
                <c:pt idx="8">
                  <c:v>6.3787087131126867</c:v>
                </c:pt>
                <c:pt idx="9">
                  <c:v>7.0171340555625292</c:v>
                </c:pt>
                <c:pt idx="10">
                  <c:v>8.2928367733781077</c:v>
                </c:pt>
                <c:pt idx="11">
                  <c:v>8.9305788020874086</c:v>
                </c:pt>
                <c:pt idx="12">
                  <c:v>9.5687961134651331</c:v>
                </c:pt>
                <c:pt idx="13">
                  <c:v>3.1905440817023742</c:v>
                </c:pt>
                <c:pt idx="14">
                  <c:v>6.3802864086158468</c:v>
                </c:pt>
                <c:pt idx="15">
                  <c:v>6.2200295962842658</c:v>
                </c:pt>
                <c:pt idx="16">
                  <c:v>9.4136360624004976</c:v>
                </c:pt>
                <c:pt idx="17">
                  <c:v>10.206846392595169</c:v>
                </c:pt>
                <c:pt idx="18">
                  <c:v>10.844006086150031</c:v>
                </c:pt>
                <c:pt idx="19">
                  <c:v>11.482303876701639</c:v>
                </c:pt>
              </c:numCache>
            </c:numRef>
          </c:xVal>
          <c:yVal>
            <c:numRef>
              <c:f>m!$BM$95:$CO$95</c:f>
              <c:numCache>
                <c:formatCode>General</c:formatCode>
                <c:ptCount val="29"/>
                <c:pt idx="0">
                  <c:v>10.120470713192889</c:v>
                </c:pt>
                <c:pt idx="1">
                  <c:v>8.9453772336192614</c:v>
                </c:pt>
                <c:pt idx="3">
                  <c:v>10.611578666711525</c:v>
                </c:pt>
                <c:pt idx="4">
                  <c:v>13.484969152564005</c:v>
                </c:pt>
                <c:pt idx="5">
                  <c:v>9.6684949677469909</c:v>
                </c:pt>
                <c:pt idx="6">
                  <c:v>10.056504925363537</c:v>
                </c:pt>
                <c:pt idx="7">
                  <c:v>11.387889643620143</c:v>
                </c:pt>
                <c:pt idx="8">
                  <c:v>9.5704123434084227</c:v>
                </c:pt>
                <c:pt idx="9">
                  <c:v>9.3655475104383363</c:v>
                </c:pt>
                <c:pt idx="10">
                  <c:v>7.9975610372982713</c:v>
                </c:pt>
                <c:pt idx="11">
                  <c:v>8.2532209331067783</c:v>
                </c:pt>
                <c:pt idx="12">
                  <c:v>7.954322186490991</c:v>
                </c:pt>
                <c:pt idx="13">
                  <c:v>10.007795801208351</c:v>
                </c:pt>
                <c:pt idx="14">
                  <c:v>9.8621963860643529</c:v>
                </c:pt>
                <c:pt idx="15">
                  <c:v>9.4519747608689038</c:v>
                </c:pt>
                <c:pt idx="16">
                  <c:v>7.5048349972577322</c:v>
                </c:pt>
                <c:pt idx="17">
                  <c:v>7.5765537722697776</c:v>
                </c:pt>
                <c:pt idx="18">
                  <c:v>6.4600890770907728</c:v>
                </c:pt>
                <c:pt idx="19">
                  <c:v>6.3590149916729768</c:v>
                </c:pt>
              </c:numCache>
            </c:numRef>
          </c:yVal>
          <c:smooth val="0"/>
          <c:extLst>
            <c:ext xmlns:c16="http://schemas.microsoft.com/office/drawing/2014/chart" uri="{C3380CC4-5D6E-409C-BE32-E72D297353CC}">
              <c16:uniqueId val="{00000002-F836-473C-ABC7-F23D917AF5E1}"/>
            </c:ext>
          </c:extLst>
        </c:ser>
        <c:ser>
          <c:idx val="13"/>
          <c:order val="3"/>
          <c:tx>
            <c:v>CF, Pipe 2</c:v>
          </c:tx>
          <c:spPr>
            <a:ln w="25400" cap="rnd">
              <a:noFill/>
              <a:round/>
            </a:ln>
            <a:effectLst/>
          </c:spPr>
          <c:marker>
            <c:symbol val="x"/>
            <c:size val="7"/>
            <c:spPr>
              <a:noFill/>
              <a:ln w="15875">
                <a:solidFill>
                  <a:srgbClr val="00B0F0"/>
                </a:solidFill>
              </a:ln>
              <a:effectLst/>
            </c:spPr>
          </c:marker>
          <c:xVal>
            <c:numRef>
              <c:f>m!$CP$117:$DT$117</c:f>
              <c:numCache>
                <c:formatCode>General</c:formatCode>
                <c:ptCount val="31"/>
                <c:pt idx="0">
                  <c:v>0.58471132708710405</c:v>
                </c:pt>
                <c:pt idx="1">
                  <c:v>0.73092207240715157</c:v>
                </c:pt>
                <c:pt idx="2">
                  <c:v>0.87743931495173688</c:v>
                </c:pt>
                <c:pt idx="3">
                  <c:v>1.023100087601956</c:v>
                </c:pt>
                <c:pt idx="4">
                  <c:v>1.1694110849586941</c:v>
                </c:pt>
                <c:pt idx="5">
                  <c:v>1.3156753705204625</c:v>
                </c:pt>
                <c:pt idx="6">
                  <c:v>1.461540387667124</c:v>
                </c:pt>
                <c:pt idx="7">
                  <c:v>1.6080520630704092</c:v>
                </c:pt>
                <c:pt idx="8">
                  <c:v>1.7539534406086863</c:v>
                </c:pt>
                <c:pt idx="9">
                  <c:v>1.9005719355356645</c:v>
                </c:pt>
                <c:pt idx="10">
                  <c:v>2.0463111700835799</c:v>
                </c:pt>
                <c:pt idx="11">
                  <c:v>2.1928277167355033</c:v>
                </c:pt>
                <c:pt idx="12">
                  <c:v>2.3384773551031222</c:v>
                </c:pt>
                <c:pt idx="14">
                  <c:v>2.3384162905219883</c:v>
                </c:pt>
                <c:pt idx="15">
                  <c:v>0.43851454311359794</c:v>
                </c:pt>
                <c:pt idx="18">
                  <c:v>2.4851553488527434</c:v>
                </c:pt>
                <c:pt idx="19">
                  <c:v>2.7777862161976672</c:v>
                </c:pt>
                <c:pt idx="20">
                  <c:v>3.0694412680566066</c:v>
                </c:pt>
                <c:pt idx="21">
                  <c:v>3.3627516745864563</c:v>
                </c:pt>
                <c:pt idx="22">
                  <c:v>3.6562475365108615</c:v>
                </c:pt>
                <c:pt idx="23">
                  <c:v>0.29232626207856161</c:v>
                </c:pt>
                <c:pt idx="24">
                  <c:v>0.43856577821087417</c:v>
                </c:pt>
                <c:pt idx="25">
                  <c:v>0.35094754232786368</c:v>
                </c:pt>
                <c:pt idx="26">
                  <c:v>0.52630375112512517</c:v>
                </c:pt>
                <c:pt idx="27">
                  <c:v>0.40928513758397039</c:v>
                </c:pt>
                <c:pt idx="28">
                  <c:v>2.1925577103824545</c:v>
                </c:pt>
                <c:pt idx="29">
                  <c:v>2.631287936728135</c:v>
                </c:pt>
              </c:numCache>
            </c:numRef>
          </c:xVal>
          <c:yVal>
            <c:numRef>
              <c:f>m!$CP$95:$DT$95</c:f>
              <c:numCache>
                <c:formatCode>General</c:formatCode>
                <c:ptCount val="31"/>
                <c:pt idx="0">
                  <c:v>7.230064864592558</c:v>
                </c:pt>
                <c:pt idx="1">
                  <c:v>7.8432795970043863</c:v>
                </c:pt>
                <c:pt idx="2">
                  <c:v>7.1611992718238096</c:v>
                </c:pt>
                <c:pt idx="3">
                  <c:v>8.5921413030732001</c:v>
                </c:pt>
                <c:pt idx="4">
                  <c:v>6.661272134560023</c:v>
                </c:pt>
                <c:pt idx="5">
                  <c:v>7.7435399296450607</c:v>
                </c:pt>
                <c:pt idx="6">
                  <c:v>6.1997981508460969</c:v>
                </c:pt>
                <c:pt idx="7">
                  <c:v>7.7408089896434431</c:v>
                </c:pt>
                <c:pt idx="8">
                  <c:v>8.6625983848095451</c:v>
                </c:pt>
                <c:pt idx="9">
                  <c:v>6.621771797238047</c:v>
                </c:pt>
                <c:pt idx="10">
                  <c:v>6.9659330774762003</c:v>
                </c:pt>
                <c:pt idx="11">
                  <c:v>7.1453382407870949</c:v>
                </c:pt>
                <c:pt idx="12">
                  <c:v>8.4516911292205865</c:v>
                </c:pt>
                <c:pt idx="14">
                  <c:v>6.0778760902500926</c:v>
                </c:pt>
                <c:pt idx="15">
                  <c:v>8.6619524722903734</c:v>
                </c:pt>
                <c:pt idx="18">
                  <c:v>7.3483443733593532</c:v>
                </c:pt>
                <c:pt idx="19">
                  <c:v>8.0072612621981989</c:v>
                </c:pt>
                <c:pt idx="20">
                  <c:v>7.0758839302446521</c:v>
                </c:pt>
                <c:pt idx="21">
                  <c:v>6.8389367669751673</c:v>
                </c:pt>
                <c:pt idx="22">
                  <c:v>6.2031731981670291</c:v>
                </c:pt>
                <c:pt idx="23">
                  <c:v>9.608322876774281</c:v>
                </c:pt>
                <c:pt idx="24">
                  <c:v>8.2080991638713332</c:v>
                </c:pt>
                <c:pt idx="25">
                  <c:v>10.795030638909601</c:v>
                </c:pt>
                <c:pt idx="26">
                  <c:v>9.9406684789797772</c:v>
                </c:pt>
                <c:pt idx="27">
                  <c:v>7.6699085645929568</c:v>
                </c:pt>
                <c:pt idx="28">
                  <c:v>6.1233547438995259</c:v>
                </c:pt>
                <c:pt idx="29">
                  <c:v>6.1359189433264092</c:v>
                </c:pt>
              </c:numCache>
            </c:numRef>
          </c:yVal>
          <c:smooth val="0"/>
          <c:extLst>
            <c:ext xmlns:c16="http://schemas.microsoft.com/office/drawing/2014/chart" uri="{C3380CC4-5D6E-409C-BE32-E72D297353CC}">
              <c16:uniqueId val="{00000003-F836-473C-ABC7-F23D917AF5E1}"/>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m!$DU$117:$DX$117</c:f>
              <c:numCache>
                <c:formatCode>General</c:formatCode>
                <c:ptCount val="4"/>
                <c:pt idx="1">
                  <c:v>0.27413394251589057</c:v>
                </c:pt>
              </c:numCache>
            </c:numRef>
          </c:xVal>
          <c:yVal>
            <c:numRef>
              <c:f>m!$DU$95:$DX$95</c:f>
              <c:numCache>
                <c:formatCode>General</c:formatCode>
                <c:ptCount val="4"/>
                <c:pt idx="1">
                  <c:v>11.627400337732656</c:v>
                </c:pt>
              </c:numCache>
            </c:numRef>
          </c:yVal>
          <c:smooth val="0"/>
          <c:extLst>
            <c:ext xmlns:c16="http://schemas.microsoft.com/office/drawing/2014/chart" uri="{C3380CC4-5D6E-409C-BE32-E72D297353CC}">
              <c16:uniqueId val="{00000004-F836-473C-ABC7-F23D917AF5E1}"/>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m!$DY$117:$EL$117</c:f>
              <c:numCache>
                <c:formatCode>General</c:formatCode>
                <c:ptCount val="14"/>
                <c:pt idx="0">
                  <c:v>0.13706938513561831</c:v>
                </c:pt>
                <c:pt idx="1">
                  <c:v>0.27407734687044855</c:v>
                </c:pt>
                <c:pt idx="2">
                  <c:v>0.32888006836082717</c:v>
                </c:pt>
                <c:pt idx="3">
                  <c:v>0.38377216856504504</c:v>
                </c:pt>
                <c:pt idx="4">
                  <c:v>0.4386018341494497</c:v>
                </c:pt>
                <c:pt idx="5">
                  <c:v>0.49331941752190112</c:v>
                </c:pt>
                <c:pt idx="6">
                  <c:v>0.54829535104530391</c:v>
                </c:pt>
                <c:pt idx="7">
                  <c:v>0.60304777254417163</c:v>
                </c:pt>
                <c:pt idx="8">
                  <c:v>0.60314687200864014</c:v>
                </c:pt>
                <c:pt idx="10">
                  <c:v>0.82238222294657048</c:v>
                </c:pt>
                <c:pt idx="11">
                  <c:v>0.87698152631304349</c:v>
                </c:pt>
                <c:pt idx="13">
                  <c:v>0.6577557004059309</c:v>
                </c:pt>
              </c:numCache>
            </c:numRef>
          </c:xVal>
          <c:yVal>
            <c:numRef>
              <c:f>m!$DY$95:$EL$95</c:f>
              <c:numCache>
                <c:formatCode>General</c:formatCode>
                <c:ptCount val="14"/>
                <c:pt idx="0">
                  <c:v>11.841933921401584</c:v>
                </c:pt>
                <c:pt idx="1">
                  <c:v>10.112716420782542</c:v>
                </c:pt>
                <c:pt idx="2">
                  <c:v>10.75326981223963</c:v>
                </c:pt>
                <c:pt idx="3">
                  <c:v>12.593437950738654</c:v>
                </c:pt>
                <c:pt idx="4">
                  <c:v>9.9708079988168254</c:v>
                </c:pt>
                <c:pt idx="5">
                  <c:v>12.57159489291657</c:v>
                </c:pt>
                <c:pt idx="6">
                  <c:v>11.025393435074347</c:v>
                </c:pt>
                <c:pt idx="7">
                  <c:v>8.8729996804417208</c:v>
                </c:pt>
                <c:pt idx="8">
                  <c:v>12.254596368878824</c:v>
                </c:pt>
                <c:pt idx="10">
                  <c:v>9.2304269063872528</c:v>
                </c:pt>
                <c:pt idx="11">
                  <c:v>10.128045629794443</c:v>
                </c:pt>
                <c:pt idx="13">
                  <c:v>8.7481293899266319</c:v>
                </c:pt>
              </c:numCache>
            </c:numRef>
          </c:yVal>
          <c:smooth val="0"/>
          <c:extLst>
            <c:ext xmlns:c16="http://schemas.microsoft.com/office/drawing/2014/chart" uri="{C3380CC4-5D6E-409C-BE32-E72D297353CC}">
              <c16:uniqueId val="{00000005-F836-473C-ABC7-F23D917AF5E1}"/>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m!$BM$117:$CO$117</c:f>
              <c:numCache>
                <c:formatCode>General</c:formatCode>
                <c:ptCount val="29"/>
                <c:pt idx="0">
                  <c:v>2.8568683159214134</c:v>
                </c:pt>
                <c:pt idx="1">
                  <c:v>5.8851003294081572</c:v>
                </c:pt>
                <c:pt idx="3">
                  <c:v>3.1898455832120436</c:v>
                </c:pt>
                <c:pt idx="4">
                  <c:v>3.8275716679340666</c:v>
                </c:pt>
                <c:pt idx="5">
                  <c:v>4.4642158392335665</c:v>
                </c:pt>
                <c:pt idx="6">
                  <c:v>5.1037485295618303</c:v>
                </c:pt>
                <c:pt idx="7">
                  <c:v>5.7396683882963568</c:v>
                </c:pt>
                <c:pt idx="8">
                  <c:v>6.3787087131126867</c:v>
                </c:pt>
                <c:pt idx="9">
                  <c:v>7.0171340555625292</c:v>
                </c:pt>
                <c:pt idx="10">
                  <c:v>8.2928367733781077</c:v>
                </c:pt>
                <c:pt idx="11">
                  <c:v>8.9305788020874086</c:v>
                </c:pt>
                <c:pt idx="12">
                  <c:v>9.5687961134651331</c:v>
                </c:pt>
                <c:pt idx="13">
                  <c:v>3.1905440817023742</c:v>
                </c:pt>
                <c:pt idx="14">
                  <c:v>6.3802864086158468</c:v>
                </c:pt>
                <c:pt idx="15">
                  <c:v>6.2200295962842658</c:v>
                </c:pt>
                <c:pt idx="16">
                  <c:v>9.4136360624004976</c:v>
                </c:pt>
                <c:pt idx="17">
                  <c:v>10.206846392595169</c:v>
                </c:pt>
                <c:pt idx="18">
                  <c:v>10.844006086150031</c:v>
                </c:pt>
                <c:pt idx="19">
                  <c:v>11.482303876701639</c:v>
                </c:pt>
              </c:numCache>
            </c:numRef>
          </c:xVal>
          <c:yVal>
            <c:numRef>
              <c:f>m!$BM$96:$CO$96</c:f>
              <c:numCache>
                <c:formatCode>General</c:formatCode>
                <c:ptCount val="29"/>
                <c:pt idx="0">
                  <c:v>7.7033235890944756</c:v>
                </c:pt>
                <c:pt idx="1">
                  <c:v>9.1444916587946974</c:v>
                </c:pt>
                <c:pt idx="3">
                  <c:v>8.7140648971788437</c:v>
                </c:pt>
                <c:pt idx="4">
                  <c:v>12.927157671770168</c:v>
                </c:pt>
                <c:pt idx="5">
                  <c:v>8.3600761384121469</c:v>
                </c:pt>
                <c:pt idx="6">
                  <c:v>8.9999781210833945</c:v>
                </c:pt>
                <c:pt idx="7">
                  <c:v>11.710147435168425</c:v>
                </c:pt>
                <c:pt idx="8">
                  <c:v>9.6604016799591612</c:v>
                </c:pt>
                <c:pt idx="9">
                  <c:v>8.9844518836473455</c:v>
                </c:pt>
                <c:pt idx="10">
                  <c:v>8.1478940601600911</c:v>
                </c:pt>
                <c:pt idx="11">
                  <c:v>7.9194530647955013</c:v>
                </c:pt>
                <c:pt idx="12">
                  <c:v>8.4688373486197897</c:v>
                </c:pt>
                <c:pt idx="13">
                  <c:v>8.1654266073084845</c:v>
                </c:pt>
                <c:pt idx="14">
                  <c:v>10.157317419596724</c:v>
                </c:pt>
                <c:pt idx="15">
                  <c:v>8.4459765120883326</c:v>
                </c:pt>
                <c:pt idx="16">
                  <c:v>8.8566927659923493</c:v>
                </c:pt>
                <c:pt idx="17">
                  <c:v>7.9864493524762779</c:v>
                </c:pt>
                <c:pt idx="18">
                  <c:v>7.5929751024784267</c:v>
                </c:pt>
                <c:pt idx="19">
                  <c:v>7.0417931291632536</c:v>
                </c:pt>
              </c:numCache>
            </c:numRef>
          </c:yVal>
          <c:smooth val="0"/>
          <c:extLst>
            <c:ext xmlns:c16="http://schemas.microsoft.com/office/drawing/2014/chart" uri="{C3380CC4-5D6E-409C-BE32-E72D297353CC}">
              <c16:uniqueId val="{00000008-F836-473C-ABC7-F23D917AF5E1}"/>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m!$CP$117:$DT$117</c:f>
              <c:numCache>
                <c:formatCode>General</c:formatCode>
                <c:ptCount val="31"/>
                <c:pt idx="0">
                  <c:v>0.58471132708710405</c:v>
                </c:pt>
                <c:pt idx="1">
                  <c:v>0.73092207240715157</c:v>
                </c:pt>
                <c:pt idx="2">
                  <c:v>0.87743931495173688</c:v>
                </c:pt>
                <c:pt idx="3">
                  <c:v>1.023100087601956</c:v>
                </c:pt>
                <c:pt idx="4">
                  <c:v>1.1694110849586941</c:v>
                </c:pt>
                <c:pt idx="5">
                  <c:v>1.3156753705204625</c:v>
                </c:pt>
                <c:pt idx="6">
                  <c:v>1.461540387667124</c:v>
                </c:pt>
                <c:pt idx="7">
                  <c:v>1.6080520630704092</c:v>
                </c:pt>
                <c:pt idx="8">
                  <c:v>1.7539534406086863</c:v>
                </c:pt>
                <c:pt idx="9">
                  <c:v>1.9005719355356645</c:v>
                </c:pt>
                <c:pt idx="10">
                  <c:v>2.0463111700835799</c:v>
                </c:pt>
                <c:pt idx="11">
                  <c:v>2.1928277167355033</c:v>
                </c:pt>
                <c:pt idx="12">
                  <c:v>2.3384773551031222</c:v>
                </c:pt>
                <c:pt idx="14">
                  <c:v>2.3384162905219883</c:v>
                </c:pt>
                <c:pt idx="15">
                  <c:v>0.43851454311359794</c:v>
                </c:pt>
                <c:pt idx="18">
                  <c:v>2.4851553488527434</c:v>
                </c:pt>
                <c:pt idx="19">
                  <c:v>2.7777862161976672</c:v>
                </c:pt>
                <c:pt idx="20">
                  <c:v>3.0694412680566066</c:v>
                </c:pt>
                <c:pt idx="21">
                  <c:v>3.3627516745864563</c:v>
                </c:pt>
                <c:pt idx="22">
                  <c:v>3.6562475365108615</c:v>
                </c:pt>
                <c:pt idx="23">
                  <c:v>0.29232626207856161</c:v>
                </c:pt>
                <c:pt idx="24">
                  <c:v>0.43856577821087417</c:v>
                </c:pt>
                <c:pt idx="25">
                  <c:v>0.35094754232786368</c:v>
                </c:pt>
                <c:pt idx="26">
                  <c:v>0.52630375112512517</c:v>
                </c:pt>
                <c:pt idx="27">
                  <c:v>0.40928513758397039</c:v>
                </c:pt>
                <c:pt idx="28">
                  <c:v>2.1925577103824545</c:v>
                </c:pt>
                <c:pt idx="29">
                  <c:v>2.631287936728135</c:v>
                </c:pt>
              </c:numCache>
            </c:numRef>
          </c:xVal>
          <c:yVal>
            <c:numRef>
              <c:f>m!$CP$96:$DT$96</c:f>
              <c:numCache>
                <c:formatCode>General</c:formatCode>
                <c:ptCount val="31"/>
                <c:pt idx="0">
                  <c:v>6.6249810457925706</c:v>
                </c:pt>
                <c:pt idx="1">
                  <c:v>5.9447274054537775</c:v>
                </c:pt>
                <c:pt idx="2">
                  <c:v>4.3790295625014277</c:v>
                </c:pt>
                <c:pt idx="3">
                  <c:v>7.0215974595106143</c:v>
                </c:pt>
                <c:pt idx="4">
                  <c:v>5.4768436761823818</c:v>
                </c:pt>
                <c:pt idx="5">
                  <c:v>4.8822056936446092</c:v>
                </c:pt>
                <c:pt idx="6">
                  <c:v>4.4672288224686083</c:v>
                </c:pt>
                <c:pt idx="7">
                  <c:v>6.5369518717044457</c:v>
                </c:pt>
                <c:pt idx="8">
                  <c:v>7.9590472097189648</c:v>
                </c:pt>
                <c:pt idx="9">
                  <c:v>5.4878070883378705</c:v>
                </c:pt>
                <c:pt idx="10">
                  <c:v>6.5026988056572304</c:v>
                </c:pt>
                <c:pt idx="11">
                  <c:v>6.329848379965453</c:v>
                </c:pt>
                <c:pt idx="12">
                  <c:v>6.2013253457317621</c:v>
                </c:pt>
                <c:pt idx="14">
                  <c:v>5.2492619268133645</c:v>
                </c:pt>
                <c:pt idx="15">
                  <c:v>6.3209002515631276</c:v>
                </c:pt>
                <c:pt idx="18">
                  <c:v>6.4868297836002924</c:v>
                </c:pt>
                <c:pt idx="19">
                  <c:v>5.827620282954654</c:v>
                </c:pt>
                <c:pt idx="20">
                  <c:v>7.0663143302767422</c:v>
                </c:pt>
                <c:pt idx="21">
                  <c:v>5.9628619384453367</c:v>
                </c:pt>
                <c:pt idx="22">
                  <c:v>5.5226853762264438</c:v>
                </c:pt>
                <c:pt idx="23">
                  <c:v>9.7019903060697743</c:v>
                </c:pt>
                <c:pt idx="24">
                  <c:v>7.6053639768993335</c:v>
                </c:pt>
                <c:pt idx="25">
                  <c:v>7.5584542426748964</c:v>
                </c:pt>
                <c:pt idx="26">
                  <c:v>6.9427008530083283</c:v>
                </c:pt>
                <c:pt idx="27">
                  <c:v>6.4055240885023839</c:v>
                </c:pt>
                <c:pt idx="28">
                  <c:v>5.9595789339150782</c:v>
                </c:pt>
                <c:pt idx="29">
                  <c:v>5.8625018670641422</c:v>
                </c:pt>
              </c:numCache>
            </c:numRef>
          </c:yVal>
          <c:smooth val="0"/>
          <c:extLst>
            <c:ext xmlns:c16="http://schemas.microsoft.com/office/drawing/2014/chart" uri="{C3380CC4-5D6E-409C-BE32-E72D297353CC}">
              <c16:uniqueId val="{00000009-F836-473C-ABC7-F23D917AF5E1}"/>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m!$DU$117:$DX$117</c:f>
              <c:numCache>
                <c:formatCode>General</c:formatCode>
                <c:ptCount val="4"/>
                <c:pt idx="1">
                  <c:v>0.27413394251589057</c:v>
                </c:pt>
              </c:numCache>
            </c:numRef>
          </c:xVal>
          <c:yVal>
            <c:numRef>
              <c:f>m!$DU$96:$DX$96</c:f>
              <c:numCache>
                <c:formatCode>General</c:formatCode>
                <c:ptCount val="4"/>
                <c:pt idx="1">
                  <c:v>8.5837852954236631</c:v>
                </c:pt>
              </c:numCache>
            </c:numRef>
          </c:yVal>
          <c:smooth val="0"/>
          <c:extLst>
            <c:ext xmlns:c16="http://schemas.microsoft.com/office/drawing/2014/chart" uri="{C3380CC4-5D6E-409C-BE32-E72D297353CC}">
              <c16:uniqueId val="{0000000A-F836-473C-ABC7-F23D917AF5E1}"/>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m!$DY$117:$EL$117</c:f>
              <c:numCache>
                <c:formatCode>General</c:formatCode>
                <c:ptCount val="14"/>
                <c:pt idx="0">
                  <c:v>0.13706938513561831</c:v>
                </c:pt>
                <c:pt idx="1">
                  <c:v>0.27407734687044855</c:v>
                </c:pt>
                <c:pt idx="2">
                  <c:v>0.32888006836082717</c:v>
                </c:pt>
                <c:pt idx="3">
                  <c:v>0.38377216856504504</c:v>
                </c:pt>
                <c:pt idx="4">
                  <c:v>0.4386018341494497</c:v>
                </c:pt>
                <c:pt idx="5">
                  <c:v>0.49331941752190112</c:v>
                </c:pt>
                <c:pt idx="6">
                  <c:v>0.54829535104530391</c:v>
                </c:pt>
                <c:pt idx="7">
                  <c:v>0.60304777254417163</c:v>
                </c:pt>
                <c:pt idx="8">
                  <c:v>0.60314687200864014</c:v>
                </c:pt>
                <c:pt idx="10">
                  <c:v>0.82238222294657048</c:v>
                </c:pt>
                <c:pt idx="11">
                  <c:v>0.87698152631304349</c:v>
                </c:pt>
                <c:pt idx="13">
                  <c:v>0.6577557004059309</c:v>
                </c:pt>
              </c:numCache>
            </c:numRef>
          </c:xVal>
          <c:yVal>
            <c:numRef>
              <c:f>m!$DY$96:$EL$96</c:f>
              <c:numCache>
                <c:formatCode>General</c:formatCode>
                <c:ptCount val="14"/>
                <c:pt idx="0">
                  <c:v>8.0736939293288259</c:v>
                </c:pt>
                <c:pt idx="1">
                  <c:v>8.5723204770723118</c:v>
                </c:pt>
                <c:pt idx="2">
                  <c:v>9.3688715981853772</c:v>
                </c:pt>
                <c:pt idx="3">
                  <c:v>11.808645757253798</c:v>
                </c:pt>
                <c:pt idx="4">
                  <c:v>9.3027335683988124</c:v>
                </c:pt>
                <c:pt idx="5">
                  <c:v>8.8407959437509973</c:v>
                </c:pt>
                <c:pt idx="6">
                  <c:v>9.4797698241348378</c:v>
                </c:pt>
                <c:pt idx="7">
                  <c:v>7.8622566156607085</c:v>
                </c:pt>
                <c:pt idx="8">
                  <c:v>9.6176111415033159</c:v>
                </c:pt>
                <c:pt idx="10">
                  <c:v>7.4199267899654808</c:v>
                </c:pt>
                <c:pt idx="11">
                  <c:v>7.9053481326688049</c:v>
                </c:pt>
                <c:pt idx="13">
                  <c:v>7.3530728474436851</c:v>
                </c:pt>
              </c:numCache>
            </c:numRef>
          </c:yVal>
          <c:smooth val="0"/>
          <c:extLst>
            <c:ext xmlns:c16="http://schemas.microsoft.com/office/drawing/2014/chart" uri="{C3380CC4-5D6E-409C-BE32-E72D297353CC}">
              <c16:uniqueId val="{0000000B-F836-473C-ABC7-F23D917AF5E1}"/>
            </c:ext>
          </c:extLst>
        </c:ser>
        <c:dLbls>
          <c:showLegendKey val="0"/>
          <c:showVal val="0"/>
          <c:showCatName val="0"/>
          <c:showSerName val="0"/>
          <c:showPercent val="0"/>
          <c:showBubbleSize val="0"/>
        </c:dLbls>
        <c:axId val="624399680"/>
        <c:axId val="624400008"/>
        <c:extLst>
          <c:ext xmlns:c15="http://schemas.microsoft.com/office/drawing/2012/chart" uri="{02D57815-91ED-43cb-92C2-25804820EDAC}">
            <c15:filteredScatterSeries>
              <c15:ser>
                <c:idx val="0"/>
                <c:order val="0"/>
                <c:tx>
                  <c:v>CF, Ormen Lange</c:v>
                </c:tx>
                <c:spPr>
                  <a:ln w="28575" cap="rnd">
                    <a:noFill/>
                    <a:round/>
                  </a:ln>
                  <a:effectLst/>
                </c:spPr>
                <c:marker>
                  <c:symbol val="x"/>
                  <c:size val="7"/>
                  <c:spPr>
                    <a:noFill/>
                    <a:ln w="15875">
                      <a:solidFill>
                        <a:schemeClr val="tx1"/>
                      </a:solidFill>
                    </a:ln>
                    <a:effectLst/>
                  </c:spPr>
                </c:marker>
                <c:xVal>
                  <c:numRef>
                    <c:extLst>
                      <c:ext uri="{02D57815-91ED-43cb-92C2-25804820EDAC}">
                        <c15:formulaRef>
                          <c15:sqref>m!$AF$97:$AO$97</c15:sqref>
                        </c15:formulaRef>
                      </c:ext>
                    </c:extLst>
                    <c:numCache>
                      <c:formatCode>General</c:formatCode>
                      <c:ptCount val="10"/>
                      <c:pt idx="6">
                        <c:v>5739.5247199186842</c:v>
                      </c:pt>
                      <c:pt idx="7">
                        <c:v>6496.5831045448413</c:v>
                      </c:pt>
                      <c:pt idx="8">
                        <c:v>7180.5339851740528</c:v>
                      </c:pt>
                      <c:pt idx="9">
                        <c:v>7970.3576585245792</c:v>
                      </c:pt>
                    </c:numCache>
                  </c:numRef>
                </c:xVal>
                <c:yVal>
                  <c:numRef>
                    <c:extLst>
                      <c:ext uri="{02D57815-91ED-43cb-92C2-25804820EDAC}">
                        <c15:formulaRef>
                          <c15:sqref>m!$AF$95:$AO$95</c15:sqref>
                        </c15:formulaRef>
                      </c:ext>
                    </c:extLst>
                    <c:numCache>
                      <c:formatCode>General</c:formatCode>
                      <c:ptCount val="10"/>
                      <c:pt idx="6">
                        <c:v>6.0414806166082506</c:v>
                      </c:pt>
                      <c:pt idx="7">
                        <c:v>6.1292359928204512</c:v>
                      </c:pt>
                      <c:pt idx="8">
                        <c:v>5.2848958185987494</c:v>
                      </c:pt>
                      <c:pt idx="9">
                        <c:v>4.2979154085934459</c:v>
                      </c:pt>
                    </c:numCache>
                  </c:numRef>
                </c:yVal>
                <c:smooth val="0"/>
                <c:extLst>
                  <c:ext xmlns:c16="http://schemas.microsoft.com/office/drawing/2014/chart" uri="{C3380CC4-5D6E-409C-BE32-E72D297353CC}">
                    <c16:uniqueId val="{00000000-F836-473C-ABC7-F23D917AF5E1}"/>
                  </c:ext>
                </c:extLst>
              </c15:ser>
            </c15:filteredScatterSeries>
            <c15:filteredScatterSeries>
              <c15:ser>
                <c:idx val="4"/>
                <c:order val="1"/>
                <c:tx>
                  <c:v>CF, ExxonMobil</c:v>
                </c:tx>
                <c:spPr>
                  <a:ln w="25400" cap="rnd">
                    <a:noFill/>
                    <a:round/>
                  </a:ln>
                  <a:effectLst/>
                </c:spPr>
                <c:marker>
                  <c:symbol val="x"/>
                  <c:size val="7"/>
                  <c:spPr>
                    <a:noFill/>
                    <a:ln w="15875">
                      <a:solidFill>
                        <a:schemeClr val="accent3"/>
                      </a:solidFill>
                    </a:ln>
                    <a:effectLst/>
                  </c:spPr>
                </c:marker>
                <c:xVal>
                  <c:numRef>
                    <c:extLst xmlns:c15="http://schemas.microsoft.com/office/drawing/2012/chart">
                      <c:ext xmlns:c15="http://schemas.microsoft.com/office/drawing/2012/chart" uri="{02D57815-91ED-43cb-92C2-25804820EDAC}">
                        <c15:formulaRef>
                          <c15:sqref>m!$AP$97:$BL$97</c15:sqref>
                        </c15:formulaRef>
                      </c:ext>
                    </c:extLst>
                    <c:numCache>
                      <c:formatCode>General</c:formatCode>
                      <c:ptCount val="23"/>
                      <c:pt idx="0">
                        <c:v>3524.084561648076</c:v>
                      </c:pt>
                      <c:pt idx="1">
                        <c:v>5018.3429157745204</c:v>
                      </c:pt>
                      <c:pt idx="2">
                        <c:v>7444.4856278180305</c:v>
                      </c:pt>
                      <c:pt idx="3">
                        <c:v>9796.5523160729572</c:v>
                      </c:pt>
                      <c:pt idx="4">
                        <c:v>12188.93422593086</c:v>
                      </c:pt>
                      <c:pt idx="6">
                        <c:v>16937.926893855139</c:v>
                      </c:pt>
                      <c:pt idx="12">
                        <c:v>28488.355262427711</c:v>
                      </c:pt>
                      <c:pt idx="19">
                        <c:v>4315.5422089456424</c:v>
                      </c:pt>
                      <c:pt idx="20">
                        <c:v>6242.1820598220374</c:v>
                      </c:pt>
                      <c:pt idx="21">
                        <c:v>5052.838841899249</c:v>
                      </c:pt>
                    </c:numCache>
                  </c:numRef>
                </c:xVal>
                <c:yVal>
                  <c:numRef>
                    <c:extLst xmlns:c15="http://schemas.microsoft.com/office/drawing/2012/chart">
                      <c:ext xmlns:c15="http://schemas.microsoft.com/office/drawing/2012/chart" uri="{02D57815-91ED-43cb-92C2-25804820EDAC}">
                        <c15:formulaRef>
                          <c15:sqref>m!$AP$95:$BL$95</c15:sqref>
                        </c15:formulaRef>
                      </c:ext>
                    </c:extLst>
                    <c:numCache>
                      <c:formatCode>General</c:formatCode>
                      <c:ptCount val="23"/>
                      <c:pt idx="0">
                        <c:v>5.0532147082786567</c:v>
                      </c:pt>
                      <c:pt idx="1">
                        <c:v>3.6133175421953494</c:v>
                      </c:pt>
                      <c:pt idx="2">
                        <c:v>4.4434942874585293</c:v>
                      </c:pt>
                      <c:pt idx="3">
                        <c:v>4.9154385147601225</c:v>
                      </c:pt>
                      <c:pt idx="4">
                        <c:v>5.3963977447979259</c:v>
                      </c:pt>
                      <c:pt idx="6">
                        <c:v>3.52255142553093</c:v>
                      </c:pt>
                      <c:pt idx="12">
                        <c:v>4.1401928182528742</c:v>
                      </c:pt>
                      <c:pt idx="19">
                        <c:v>4.490854651714832</c:v>
                      </c:pt>
                      <c:pt idx="20">
                        <c:v>4.8959517967458943</c:v>
                      </c:pt>
                      <c:pt idx="21">
                        <c:v>3.8939295934451761</c:v>
                      </c:pt>
                    </c:numCache>
                  </c:numRef>
                </c:yVal>
                <c:smooth val="0"/>
                <c:extLst xmlns:c15="http://schemas.microsoft.com/office/drawing/2012/chart">
                  <c:ext xmlns:c16="http://schemas.microsoft.com/office/drawing/2014/chart" uri="{C3380CC4-5D6E-409C-BE32-E72D297353CC}">
                    <c16:uniqueId val="{00000001-F836-473C-ABC7-F23D917AF5E1}"/>
                  </c:ext>
                </c:extLst>
              </c15:ser>
            </c15:filteredScatterSeries>
            <c15:filteredScatterSeries>
              <c15:ser>
                <c:idx val="6"/>
                <c:order val="6"/>
                <c:tx>
                  <c:v>IL, Ormen Lange</c:v>
                </c:tx>
                <c:spPr>
                  <a:ln w="25400" cap="rnd">
                    <a:noFill/>
                    <a:round/>
                  </a:ln>
                  <a:effectLst/>
                </c:spPr>
                <c:marker>
                  <c:symbol val="circle"/>
                  <c:size val="7"/>
                  <c:spPr>
                    <a:noFill/>
                    <a:ln w="15875">
                      <a:solidFill>
                        <a:schemeClr val="tx1"/>
                      </a:solidFill>
                    </a:ln>
                    <a:effectLst/>
                  </c:spPr>
                </c:marker>
                <c:xVal>
                  <c:numRef>
                    <c:extLst xmlns:c15="http://schemas.microsoft.com/office/drawing/2012/chart">
                      <c:ext xmlns:c15="http://schemas.microsoft.com/office/drawing/2012/chart" uri="{02D57815-91ED-43cb-92C2-25804820EDAC}">
                        <c15:formulaRef>
                          <c15:sqref>m!$AF$97:$AO$97</c15:sqref>
                        </c15:formulaRef>
                      </c:ext>
                    </c:extLst>
                    <c:numCache>
                      <c:formatCode>General</c:formatCode>
                      <c:ptCount val="10"/>
                      <c:pt idx="6">
                        <c:v>5739.5247199186842</c:v>
                      </c:pt>
                      <c:pt idx="7">
                        <c:v>6496.5831045448413</c:v>
                      </c:pt>
                      <c:pt idx="8">
                        <c:v>7180.5339851740528</c:v>
                      </c:pt>
                      <c:pt idx="9">
                        <c:v>7970.3576585245792</c:v>
                      </c:pt>
                    </c:numCache>
                  </c:numRef>
                </c:xVal>
                <c:yVal>
                  <c:numRef>
                    <c:extLst xmlns:c15="http://schemas.microsoft.com/office/drawing/2012/chart">
                      <c:ext xmlns:c15="http://schemas.microsoft.com/office/drawing/2012/chart" uri="{02D57815-91ED-43cb-92C2-25804820EDAC}">
                        <c15:formulaRef>
                          <c15:sqref>m!$AF$96:$AO$96</c15:sqref>
                        </c15:formulaRef>
                      </c:ext>
                    </c:extLst>
                    <c:numCache>
                      <c:formatCode>General</c:formatCode>
                      <c:ptCount val="10"/>
                      <c:pt idx="6">
                        <c:v>4.6527598235675249</c:v>
                      </c:pt>
                      <c:pt idx="7">
                        <c:v>4.2805274655235781</c:v>
                      </c:pt>
                      <c:pt idx="8">
                        <c:v>3.4393569277814708</c:v>
                      </c:pt>
                      <c:pt idx="9">
                        <c:v>3.6129037340831314</c:v>
                      </c:pt>
                    </c:numCache>
                  </c:numRef>
                </c:yVal>
                <c:smooth val="0"/>
                <c:extLst xmlns:c15="http://schemas.microsoft.com/office/drawing/2012/chart">
                  <c:ext xmlns:c16="http://schemas.microsoft.com/office/drawing/2014/chart" uri="{C3380CC4-5D6E-409C-BE32-E72D297353CC}">
                    <c16:uniqueId val="{00000006-F836-473C-ABC7-F23D917AF5E1}"/>
                  </c:ext>
                </c:extLst>
              </c15:ser>
            </c15:filteredScatterSeries>
            <c15:filteredScatterSeries>
              <c15:ser>
                <c:idx val="7"/>
                <c:order val="7"/>
                <c:tx>
                  <c:v>IL, ExxonMobil</c:v>
                </c:tx>
                <c:spPr>
                  <a:ln w="25400" cap="rnd">
                    <a:noFill/>
                    <a:round/>
                  </a:ln>
                  <a:effectLst/>
                </c:spPr>
                <c:marker>
                  <c:symbol val="circle"/>
                  <c:size val="7"/>
                  <c:spPr>
                    <a:noFill/>
                    <a:ln w="15875">
                      <a:solidFill>
                        <a:schemeClr val="accent3"/>
                      </a:solidFill>
                    </a:ln>
                    <a:effectLst/>
                  </c:spPr>
                </c:marker>
                <c:xVal>
                  <c:numRef>
                    <c:extLst xmlns:c15="http://schemas.microsoft.com/office/drawing/2012/chart">
                      <c:ext xmlns:c15="http://schemas.microsoft.com/office/drawing/2012/chart" uri="{02D57815-91ED-43cb-92C2-25804820EDAC}">
                        <c15:formulaRef>
                          <c15:sqref>m!$AP$97:$BL$97</c15:sqref>
                        </c15:formulaRef>
                      </c:ext>
                    </c:extLst>
                    <c:numCache>
                      <c:formatCode>General</c:formatCode>
                      <c:ptCount val="23"/>
                      <c:pt idx="0">
                        <c:v>3524.084561648076</c:v>
                      </c:pt>
                      <c:pt idx="1">
                        <c:v>5018.3429157745204</c:v>
                      </c:pt>
                      <c:pt idx="2">
                        <c:v>7444.4856278180305</c:v>
                      </c:pt>
                      <c:pt idx="3">
                        <c:v>9796.5523160729572</c:v>
                      </c:pt>
                      <c:pt idx="4">
                        <c:v>12188.93422593086</c:v>
                      </c:pt>
                      <c:pt idx="6">
                        <c:v>16937.926893855139</c:v>
                      </c:pt>
                      <c:pt idx="12">
                        <c:v>28488.355262427711</c:v>
                      </c:pt>
                      <c:pt idx="19">
                        <c:v>4315.5422089456424</c:v>
                      </c:pt>
                      <c:pt idx="20">
                        <c:v>6242.1820598220374</c:v>
                      </c:pt>
                      <c:pt idx="21">
                        <c:v>5052.838841899249</c:v>
                      </c:pt>
                    </c:numCache>
                  </c:numRef>
                </c:xVal>
                <c:yVal>
                  <c:numRef>
                    <c:extLst xmlns:c15="http://schemas.microsoft.com/office/drawing/2012/chart">
                      <c:ext xmlns:c15="http://schemas.microsoft.com/office/drawing/2012/chart" uri="{02D57815-91ED-43cb-92C2-25804820EDAC}">
                        <c15:formulaRef>
                          <c15:sqref>m!$AP$96:$BL$96</c15:sqref>
                        </c15:formulaRef>
                      </c:ext>
                    </c:extLst>
                    <c:numCache>
                      <c:formatCode>General</c:formatCode>
                      <c:ptCount val="23"/>
                      <c:pt idx="0">
                        <c:v>5.4755784611121161</c:v>
                      </c:pt>
                      <c:pt idx="1">
                        <c:v>5.1682826595532747</c:v>
                      </c:pt>
                      <c:pt idx="2">
                        <c:v>3.0985995787371445</c:v>
                      </c:pt>
                      <c:pt idx="3">
                        <c:v>3.134879815279314</c:v>
                      </c:pt>
                      <c:pt idx="4">
                        <c:v>3.0033011206407316</c:v>
                      </c:pt>
                      <c:pt idx="6">
                        <c:v>2.9529997740314693</c:v>
                      </c:pt>
                      <c:pt idx="12">
                        <c:v>2.536745078640724</c:v>
                      </c:pt>
                      <c:pt idx="19">
                        <c:v>5.2461545091174413</c:v>
                      </c:pt>
                      <c:pt idx="20">
                        <c:v>3.8667689214808134</c:v>
                      </c:pt>
                      <c:pt idx="21">
                        <c:v>5.2126574434788768</c:v>
                      </c:pt>
                    </c:numCache>
                  </c:numRef>
                </c:yVal>
                <c:smooth val="0"/>
                <c:extLst xmlns:c15="http://schemas.microsoft.com/office/drawing/2012/chart">
                  <c:ext xmlns:c16="http://schemas.microsoft.com/office/drawing/2014/chart" uri="{C3380CC4-5D6E-409C-BE32-E72D297353CC}">
                    <c16:uniqueId val="{00000007-F836-473C-ABC7-F23D917AF5E1}"/>
                  </c:ext>
                </c:extLst>
              </c15:ser>
            </c15:filteredScatterSeries>
            <c15:filteredScatterSeries>
              <c15:ser>
                <c:idx val="1"/>
                <c:order val="12"/>
                <c:tx>
                  <c:v>In Line, OL</c:v>
                </c:tx>
                <c:spPr>
                  <a:ln w="25400" cap="rnd">
                    <a:noFill/>
                    <a:round/>
                  </a:ln>
                  <a:effectLst/>
                </c:spPr>
                <c:marker>
                  <c:symbol val="circle"/>
                  <c:size val="7"/>
                  <c:spPr>
                    <a:noFill/>
                    <a:ln w="15875">
                      <a:solidFill>
                        <a:schemeClr val="tx1"/>
                      </a:solidFill>
                    </a:ln>
                    <a:effectLst/>
                  </c:spPr>
                </c:marker>
                <c:xVal>
                  <c:numRef>
                    <c:extLst xmlns:c15="http://schemas.microsoft.com/office/drawing/2012/chart">
                      <c:ext xmlns:c15="http://schemas.microsoft.com/office/drawing/2012/chart" uri="{02D57815-91ED-43cb-92C2-25804820EDAC}">
                        <c15:formulaRef>
                          <c15:sqref>m!$AF$86:$AO$86</c15:sqref>
                        </c15:formulaRef>
                      </c:ext>
                    </c:extLst>
                    <c:numCache>
                      <c:formatCode>General</c:formatCode>
                      <c:ptCount val="10"/>
                      <c:pt idx="6">
                        <c:v>2.60569650261762</c:v>
                      </c:pt>
                      <c:pt idx="7">
                        <c:v>2.8052504067622763</c:v>
                      </c:pt>
                      <c:pt idx="8">
                        <c:v>2.9780821140943421</c:v>
                      </c:pt>
                      <c:pt idx="9">
                        <c:v>3.163643721763262</c:v>
                      </c:pt>
                    </c:numCache>
                  </c:numRef>
                </c:xVal>
                <c:yVal>
                  <c:numRef>
                    <c:extLst xmlns:c15="http://schemas.microsoft.com/office/drawing/2012/chart">
                      <c:ext xmlns:c15="http://schemas.microsoft.com/office/drawing/2012/chart" uri="{02D57815-91ED-43cb-92C2-25804820EDAC}">
                        <c15:formulaRef>
                          <c15:sqref>m!$AF$91:$AO$91</c15:sqref>
                        </c15:formulaRef>
                      </c:ext>
                    </c:extLst>
                    <c:numCache>
                      <c:formatCode>General</c:formatCode>
                      <c:ptCount val="10"/>
                      <c:pt idx="6">
                        <c:v>3.9502776072221706</c:v>
                      </c:pt>
                      <c:pt idx="7">
                        <c:v>3.8204481933278442</c:v>
                      </c:pt>
                      <c:pt idx="8">
                        <c:v>2.8990463053331168</c:v>
                      </c:pt>
                      <c:pt idx="9">
                        <c:v>3.0460998559525874</c:v>
                      </c:pt>
                    </c:numCache>
                  </c:numRef>
                </c:yVal>
                <c:smooth val="0"/>
                <c:extLst xmlns:c15="http://schemas.microsoft.com/office/drawing/2012/chart">
                  <c:ext xmlns:c16="http://schemas.microsoft.com/office/drawing/2014/chart" uri="{C3380CC4-5D6E-409C-BE32-E72D297353CC}">
                    <c16:uniqueId val="{0000000C-F836-473C-ABC7-F23D917AF5E1}"/>
                  </c:ext>
                </c:extLst>
              </c15:ser>
            </c15:filteredScatterSeries>
            <c15:filteredScatterSeries>
              <c15:ser>
                <c:idx val="2"/>
                <c:order val="13"/>
                <c:tx>
                  <c:v>In Line, EM</c:v>
                </c:tx>
                <c:spPr>
                  <a:ln w="25400" cap="rnd">
                    <a:noFill/>
                    <a:round/>
                  </a:ln>
                  <a:effectLst/>
                </c:spPr>
                <c:marker>
                  <c:symbol val="circle"/>
                  <c:size val="7"/>
                  <c:spPr>
                    <a:noFill/>
                    <a:ln w="15875">
                      <a:solidFill>
                        <a:schemeClr val="accent3"/>
                      </a:solidFill>
                    </a:ln>
                    <a:effectLst/>
                  </c:spPr>
                </c:marker>
                <c:xVal>
                  <c:numRef>
                    <c:extLst xmlns:c15="http://schemas.microsoft.com/office/drawing/2012/chart">
                      <c:ext xmlns:c15="http://schemas.microsoft.com/office/drawing/2012/chart" uri="{02D57815-91ED-43cb-92C2-25804820EDAC}">
                        <c15:formulaRef>
                          <c15:sqref>m!$AP$86:$BL$86</c15:sqref>
                        </c15:formulaRef>
                      </c:ext>
                    </c:extLst>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extLst xmlns:c15="http://schemas.microsoft.com/office/drawing/2012/chart">
                      <c:ext xmlns:c15="http://schemas.microsoft.com/office/drawing/2012/chart" uri="{02D57815-91ED-43cb-92C2-25804820EDAC}">
                        <c15:formulaRef>
                          <c15:sqref>m!$AP$91:$BL$91</c15:sqref>
                        </c15:formulaRef>
                      </c:ext>
                    </c:extLst>
                    <c:numCache>
                      <c:formatCode>General</c:formatCode>
                      <c:ptCount val="23"/>
                      <c:pt idx="0">
                        <c:v>3.9015319384578984</c:v>
                      </c:pt>
                      <c:pt idx="1">
                        <c:v>4.0324241551015083</c:v>
                      </c:pt>
                      <c:pt idx="2">
                        <c:v>2.4087539710783048</c:v>
                      </c:pt>
                      <c:pt idx="3">
                        <c:v>2.5988468550675954</c:v>
                      </c:pt>
                      <c:pt idx="4">
                        <c:v>2.4975377660733624</c:v>
                      </c:pt>
                      <c:pt idx="6">
                        <c:v>2.4940490859525726</c:v>
                      </c:pt>
                      <c:pt idx="12">
                        <c:v>2.077389993099553</c:v>
                      </c:pt>
                      <c:pt idx="19">
                        <c:v>3.887685418105959</c:v>
                      </c:pt>
                      <c:pt idx="20">
                        <c:v>3.0668865507265997</c:v>
                      </c:pt>
                      <c:pt idx="21">
                        <c:v>4.0491103337392174</c:v>
                      </c:pt>
                    </c:numCache>
                  </c:numRef>
                </c:yVal>
                <c:smooth val="0"/>
                <c:extLst xmlns:c15="http://schemas.microsoft.com/office/drawing/2012/chart">
                  <c:ext xmlns:c16="http://schemas.microsoft.com/office/drawing/2014/chart" uri="{C3380CC4-5D6E-409C-BE32-E72D297353CC}">
                    <c16:uniqueId val="{0000000D-F836-473C-ABC7-F23D917AF5E1}"/>
                  </c:ext>
                </c:extLst>
              </c15:ser>
            </c15:filteredScatterSeries>
            <c15:filteredScatterSeries>
              <c15:ser>
                <c:idx val="3"/>
                <c:order val="14"/>
                <c:tx>
                  <c:v>In Line, Shell</c:v>
                </c:tx>
                <c:spPr>
                  <a:ln w="25400" cap="rnd">
                    <a:noFill/>
                    <a:round/>
                  </a:ln>
                  <a:effectLst/>
                </c:spPr>
                <c:marker>
                  <c:symbol val="circle"/>
                  <c:size val="7"/>
                  <c:spPr>
                    <a:noFill/>
                    <a:ln w="15875">
                      <a:solidFill>
                        <a:schemeClr val="accent2"/>
                      </a:solidFill>
                    </a:ln>
                    <a:effectLst/>
                  </c:spPr>
                </c:marker>
                <c:xVal>
                  <c:numRef>
                    <c:extLst xmlns:c15="http://schemas.microsoft.com/office/drawing/2012/chart">
                      <c:ext xmlns:c15="http://schemas.microsoft.com/office/drawing/2012/chart" uri="{02D57815-91ED-43cb-92C2-25804820EDAC}">
                        <c15:formulaRef>
                          <c15:sqref>m!$DU$86:$DX$86</c15:sqref>
                        </c15:formulaRef>
                      </c:ext>
                    </c:extLst>
                    <c:numCache>
                      <c:formatCode>General</c:formatCode>
                      <c:ptCount val="4"/>
                      <c:pt idx="1">
                        <c:v>3.8469075681895233</c:v>
                      </c:pt>
                    </c:numCache>
                  </c:numRef>
                </c:xVal>
                <c:yVal>
                  <c:numRef>
                    <c:extLst xmlns:c15="http://schemas.microsoft.com/office/drawing/2012/chart">
                      <c:ext xmlns:c15="http://schemas.microsoft.com/office/drawing/2012/chart" uri="{02D57815-91ED-43cb-92C2-25804820EDAC}">
                        <c15:formulaRef>
                          <c15:sqref>m!$DU$91:$DX$91</c15:sqref>
                        </c15:formulaRef>
                      </c:ext>
                    </c:extLst>
                    <c:numCache>
                      <c:formatCode>General</c:formatCode>
                      <c:ptCount val="4"/>
                      <c:pt idx="1">
                        <c:v>5.9805420003862961</c:v>
                      </c:pt>
                    </c:numCache>
                  </c:numRef>
                </c:yVal>
                <c:smooth val="0"/>
                <c:extLst xmlns:c15="http://schemas.microsoft.com/office/drawing/2012/chart">
                  <c:ext xmlns:c16="http://schemas.microsoft.com/office/drawing/2014/chart" uri="{C3380CC4-5D6E-409C-BE32-E72D297353CC}">
                    <c16:uniqueId val="{0000000E-F836-473C-ABC7-F23D917AF5E1}"/>
                  </c:ext>
                </c:extLst>
              </c15:ser>
            </c15:filteredScatterSeries>
          </c:ext>
        </c:extLst>
      </c:scatterChart>
      <c:valAx>
        <c:axId val="624399680"/>
        <c:scaling>
          <c:logBase val="10"/>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Strouhal/Axial Clump Frequency Ratio, ψ</a:t>
                </a:r>
                <a:r>
                  <a:rPr lang="en-US" sz="1400" b="0" i="0" u="none" strike="noStrike" baseline="-25000">
                    <a:effectLst/>
                  </a:rPr>
                  <a:t>clump</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baseline="0">
                    <a:effectLst/>
                  </a:rPr>
                  <a:t>Normalized Fatigue-Equivalent Strain Amplitude,   ϵ̃</a:t>
                </a:r>
                <a:r>
                  <a:rPr lang="en-US" sz="1400" b="0" i="0" baseline="-25000">
                    <a:effectLst/>
                  </a:rPr>
                  <a:t>e</a:t>
                </a:r>
                <a:r>
                  <a:rPr lang="en-US" sz="1400" b="0" i="0" baseline="0">
                    <a:effectLst/>
                  </a:rPr>
                  <a:t> = ϵ</a:t>
                </a:r>
                <a:r>
                  <a:rPr lang="en-US" sz="1400" b="0" i="0" baseline="-25000">
                    <a:effectLst/>
                  </a:rPr>
                  <a:t>e</a:t>
                </a:r>
                <a:r>
                  <a:rPr lang="en-US" sz="1400" b="0" i="0" baseline="0">
                    <a:effectLst/>
                  </a:rPr>
                  <a:t>/(R</a:t>
                </a:r>
                <a:r>
                  <a:rPr lang="en-US" sz="1400" b="0" i="0" baseline="-25000">
                    <a:effectLst/>
                  </a:rPr>
                  <a:t>ϵ</a:t>
                </a:r>
                <a:r>
                  <a:rPr lang="en-US" sz="1400" b="0" i="0" baseline="0">
                    <a:effectLst/>
                  </a:rPr>
                  <a:t>D/L</a:t>
                </a:r>
                <a:r>
                  <a:rPr lang="en-US" sz="1400" b="0" i="0" baseline="-25000">
                    <a:effectLst/>
                  </a:rPr>
                  <a:t>st</a:t>
                </a:r>
                <a:r>
                  <a:rPr lang="en-US" sz="1400" b="0" i="0" baseline="30000">
                    <a:effectLst/>
                  </a:rPr>
                  <a:t>2</a:t>
                </a:r>
                <a:r>
                  <a:rPr lang="en-US" sz="1400" b="0" i="0" baseline="0">
                    <a:effectLst/>
                  </a:rPr>
                  <a:t>)</a:t>
                </a:r>
                <a:endParaRPr lang="en-US" sz="1400">
                  <a:effectLst/>
                </a:endParaRPr>
              </a:p>
            </c:rich>
          </c:tx>
          <c:layout>
            <c:manualLayout>
              <c:xMode val="edge"/>
              <c:yMode val="edge"/>
              <c:x val="1.2786980528916013E-2"/>
              <c:y val="5.1139526362623478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At val="0.1"/>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m!$AF$108:$AO$108</c:f>
              <c:numCache>
                <c:formatCode>General</c:formatCode>
                <c:ptCount val="10"/>
                <c:pt idx="6">
                  <c:v>8.7961764939928064E-2</c:v>
                </c:pt>
                <c:pt idx="7">
                  <c:v>8.5104610660634725E-2</c:v>
                </c:pt>
                <c:pt idx="8">
                  <c:v>7.4427376085370658E-2</c:v>
                </c:pt>
                <c:pt idx="9">
                  <c:v>3.9378729208722991E-2</c:v>
                </c:pt>
              </c:numCache>
            </c:numRef>
          </c:xVal>
          <c:yVal>
            <c:numRef>
              <c:f>m!$AF$95:$AO$95</c:f>
              <c:numCache>
                <c:formatCode>General</c:formatCode>
                <c:ptCount val="10"/>
                <c:pt idx="6">
                  <c:v>6.0414806166082506</c:v>
                </c:pt>
                <c:pt idx="7">
                  <c:v>6.1292359928204512</c:v>
                </c:pt>
                <c:pt idx="8">
                  <c:v>5.2848958185987494</c:v>
                </c:pt>
                <c:pt idx="9">
                  <c:v>4.2979154085934459</c:v>
                </c:pt>
              </c:numCache>
            </c:numRef>
          </c:yVal>
          <c:smooth val="0"/>
          <c:extLst>
            <c:ext xmlns:c16="http://schemas.microsoft.com/office/drawing/2014/chart" uri="{C3380CC4-5D6E-409C-BE32-E72D297353CC}">
              <c16:uniqueId val="{00000000-97A8-4A9E-8AA2-37427C0227DF}"/>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m!$AP$108:$BL$108</c:f>
              <c:numCache>
                <c:formatCode>General</c:formatCode>
                <c:ptCount val="23"/>
                <c:pt idx="0">
                  <c:v>1.4392232051287623E-2</c:v>
                </c:pt>
                <c:pt idx="1">
                  <c:v>2.4172187650910226E-2</c:v>
                </c:pt>
                <c:pt idx="2">
                  <c:v>9.2210546927829679E-2</c:v>
                </c:pt>
                <c:pt idx="3">
                  <c:v>6.4001701116943643E-2</c:v>
                </c:pt>
                <c:pt idx="4">
                  <c:v>8.2784316886471948E-2</c:v>
                </c:pt>
                <c:pt idx="6">
                  <c:v>8.4808240598231471E-2</c:v>
                </c:pt>
                <c:pt idx="12">
                  <c:v>7.3798334780909872E-2</c:v>
                </c:pt>
                <c:pt idx="19">
                  <c:v>1.5940907564513371E-2</c:v>
                </c:pt>
                <c:pt idx="20">
                  <c:v>3.5270871566977578E-2</c:v>
                </c:pt>
                <c:pt idx="21">
                  <c:v>2.8509755247130571E-2</c:v>
                </c:pt>
              </c:numCache>
            </c:numRef>
          </c:xVal>
          <c:yVal>
            <c:numRef>
              <c:f>m!$AP$95:$BL$95</c:f>
              <c:numCache>
                <c:formatCode>General</c:formatCode>
                <c:ptCount val="23"/>
                <c:pt idx="0">
                  <c:v>5.0532147082786567</c:v>
                </c:pt>
                <c:pt idx="1">
                  <c:v>3.6133175421953494</c:v>
                </c:pt>
                <c:pt idx="2">
                  <c:v>4.4434942874585293</c:v>
                </c:pt>
                <c:pt idx="3">
                  <c:v>4.9154385147601225</c:v>
                </c:pt>
                <c:pt idx="4">
                  <c:v>5.3963977447979259</c:v>
                </c:pt>
                <c:pt idx="6">
                  <c:v>3.52255142553093</c:v>
                </c:pt>
                <c:pt idx="12">
                  <c:v>4.1401928182528742</c:v>
                </c:pt>
                <c:pt idx="19">
                  <c:v>4.490854651714832</c:v>
                </c:pt>
                <c:pt idx="20">
                  <c:v>4.8959517967458943</c:v>
                </c:pt>
                <c:pt idx="21">
                  <c:v>3.8939295934451761</c:v>
                </c:pt>
              </c:numCache>
            </c:numRef>
          </c:yVal>
          <c:smooth val="0"/>
          <c:extLst>
            <c:ext xmlns:c16="http://schemas.microsoft.com/office/drawing/2014/chart" uri="{C3380CC4-5D6E-409C-BE32-E72D297353CC}">
              <c16:uniqueId val="{00000001-97A8-4A9E-8AA2-37427C0227DF}"/>
            </c:ext>
          </c:extLst>
        </c:ser>
        <c:ser>
          <c:idx val="11"/>
          <c:order val="2"/>
          <c:tx>
            <c:v>CF, Pipe 1</c:v>
          </c:tx>
          <c:spPr>
            <a:ln w="25400" cap="rnd">
              <a:noFill/>
              <a:round/>
            </a:ln>
            <a:effectLst/>
          </c:spPr>
          <c:marker>
            <c:symbol val="x"/>
            <c:size val="7"/>
            <c:spPr>
              <a:noFill/>
              <a:ln w="15875">
                <a:solidFill>
                  <a:schemeClr val="accent6"/>
                </a:solidFill>
              </a:ln>
              <a:effectLst/>
            </c:spPr>
          </c:marker>
          <c:xVal>
            <c:numRef>
              <c:f>m!$BM$108:$CO$108</c:f>
              <c:numCache>
                <c:formatCode>General</c:formatCode>
                <c:ptCount val="29"/>
                <c:pt idx="0">
                  <c:v>4.6853564507019947E-2</c:v>
                </c:pt>
                <c:pt idx="1">
                  <c:v>6.8110864550080599E-2</c:v>
                </c:pt>
                <c:pt idx="3">
                  <c:v>2.1488405051508393E-2</c:v>
                </c:pt>
                <c:pt idx="4">
                  <c:v>3.1048324645168823E-2</c:v>
                </c:pt>
                <c:pt idx="5">
                  <c:v>3.8555378419901649E-2</c:v>
                </c:pt>
                <c:pt idx="6">
                  <c:v>5.3872203639017194E-2</c:v>
                </c:pt>
                <c:pt idx="7">
                  <c:v>6.6044804160853898E-2</c:v>
                </c:pt>
                <c:pt idx="8">
                  <c:v>6.8237712990611404E-2</c:v>
                </c:pt>
                <c:pt idx="9">
                  <c:v>6.6551964228173111E-2</c:v>
                </c:pt>
                <c:pt idx="10">
                  <c:v>6.7762351100982429E-2</c:v>
                </c:pt>
                <c:pt idx="11">
                  <c:v>7.8986671191811186E-2</c:v>
                </c:pt>
                <c:pt idx="12">
                  <c:v>8.4386209320913563E-2</c:v>
                </c:pt>
                <c:pt idx="13">
                  <c:v>3.7819627836849154E-2</c:v>
                </c:pt>
                <c:pt idx="14">
                  <c:v>6.1377704783325264E-2</c:v>
                </c:pt>
                <c:pt idx="15">
                  <c:v>5.7940318497491594E-2</c:v>
                </c:pt>
                <c:pt idx="16">
                  <c:v>8.4038381126712469E-2</c:v>
                </c:pt>
                <c:pt idx="17">
                  <c:v>8.7501666903431669E-2</c:v>
                </c:pt>
                <c:pt idx="18">
                  <c:v>7.9839734111066402E-2</c:v>
                </c:pt>
                <c:pt idx="19">
                  <c:v>8.0748563737711304E-2</c:v>
                </c:pt>
              </c:numCache>
            </c:numRef>
          </c:xVal>
          <c:yVal>
            <c:numRef>
              <c:f>m!$BM$95:$CO$95</c:f>
              <c:numCache>
                <c:formatCode>General</c:formatCode>
                <c:ptCount val="29"/>
                <c:pt idx="0">
                  <c:v>10.120470713192889</c:v>
                </c:pt>
                <c:pt idx="1">
                  <c:v>8.9453772336192614</c:v>
                </c:pt>
                <c:pt idx="3">
                  <c:v>10.611578666711525</c:v>
                </c:pt>
                <c:pt idx="4">
                  <c:v>13.484969152564005</c:v>
                </c:pt>
                <c:pt idx="5">
                  <c:v>9.6684949677469909</c:v>
                </c:pt>
                <c:pt idx="6">
                  <c:v>10.056504925363537</c:v>
                </c:pt>
                <c:pt idx="7">
                  <c:v>11.387889643620143</c:v>
                </c:pt>
                <c:pt idx="8">
                  <c:v>9.5704123434084227</c:v>
                </c:pt>
                <c:pt idx="9">
                  <c:v>9.3655475104383363</c:v>
                </c:pt>
                <c:pt idx="10">
                  <c:v>7.9975610372982713</c:v>
                </c:pt>
                <c:pt idx="11">
                  <c:v>8.2532209331067783</c:v>
                </c:pt>
                <c:pt idx="12">
                  <c:v>7.954322186490991</c:v>
                </c:pt>
                <c:pt idx="13">
                  <c:v>10.007795801208351</c:v>
                </c:pt>
                <c:pt idx="14">
                  <c:v>9.8621963860643529</c:v>
                </c:pt>
                <c:pt idx="15">
                  <c:v>9.4519747608689038</c:v>
                </c:pt>
                <c:pt idx="16">
                  <c:v>7.5048349972577322</c:v>
                </c:pt>
                <c:pt idx="17">
                  <c:v>7.5765537722697776</c:v>
                </c:pt>
                <c:pt idx="18">
                  <c:v>6.4600890770907728</c:v>
                </c:pt>
                <c:pt idx="19">
                  <c:v>6.3590149916729768</c:v>
                </c:pt>
              </c:numCache>
            </c:numRef>
          </c:yVal>
          <c:smooth val="0"/>
          <c:extLst>
            <c:ext xmlns:c16="http://schemas.microsoft.com/office/drawing/2014/chart" uri="{C3380CC4-5D6E-409C-BE32-E72D297353CC}">
              <c16:uniqueId val="{00000002-97A8-4A9E-8AA2-37427C0227DF}"/>
            </c:ext>
          </c:extLst>
        </c:ser>
        <c:ser>
          <c:idx val="13"/>
          <c:order val="3"/>
          <c:tx>
            <c:v>CF, Pipe 2</c:v>
          </c:tx>
          <c:spPr>
            <a:ln w="25400" cap="rnd">
              <a:noFill/>
              <a:round/>
            </a:ln>
            <a:effectLst/>
          </c:spPr>
          <c:marker>
            <c:symbol val="x"/>
            <c:size val="7"/>
            <c:spPr>
              <a:noFill/>
              <a:ln w="15875">
                <a:solidFill>
                  <a:srgbClr val="00B0F0"/>
                </a:solidFill>
              </a:ln>
              <a:effectLst/>
            </c:spPr>
          </c:marker>
          <c:xVal>
            <c:numRef>
              <c:f>m!$CP$108:$DT$108</c:f>
              <c:numCache>
                <c:formatCode>General</c:formatCode>
                <c:ptCount val="31"/>
                <c:pt idx="0">
                  <c:v>4.3297773300129433E-2</c:v>
                </c:pt>
                <c:pt idx="1">
                  <c:v>6.6130935534151197E-2</c:v>
                </c:pt>
                <c:pt idx="2">
                  <c:v>5.516615427845397E-2</c:v>
                </c:pt>
                <c:pt idx="3">
                  <c:v>5.5292401122578612E-2</c:v>
                </c:pt>
                <c:pt idx="4">
                  <c:v>7.7044127909613444E-2</c:v>
                </c:pt>
                <c:pt idx="5">
                  <c:v>5.2035834128258053E-2</c:v>
                </c:pt>
                <c:pt idx="6">
                  <c:v>8.2027492863262649E-2</c:v>
                </c:pt>
                <c:pt idx="7">
                  <c:v>4.1431568350316243E-2</c:v>
                </c:pt>
                <c:pt idx="8">
                  <c:v>4.7670011131603483E-2</c:v>
                </c:pt>
                <c:pt idx="9">
                  <c:v>4.8053553703230112E-2</c:v>
                </c:pt>
                <c:pt idx="10">
                  <c:v>5.2725101805122271E-2</c:v>
                </c:pt>
                <c:pt idx="11">
                  <c:v>4.5040894194394769E-2</c:v>
                </c:pt>
                <c:pt idx="12">
                  <c:v>5.7225214625532983E-2</c:v>
                </c:pt>
                <c:pt idx="14">
                  <c:v>7.0584990533444941E-2</c:v>
                </c:pt>
                <c:pt idx="15">
                  <c:v>3.6970116012211722E-2</c:v>
                </c:pt>
                <c:pt idx="18">
                  <c:v>5.7970734248348962E-2</c:v>
                </c:pt>
                <c:pt idx="19">
                  <c:v>6.0315122890437042E-2</c:v>
                </c:pt>
                <c:pt idx="20">
                  <c:v>6.677730487031408E-2</c:v>
                </c:pt>
                <c:pt idx="21">
                  <c:v>6.2178225286365837E-2</c:v>
                </c:pt>
                <c:pt idx="22">
                  <c:v>8.100283574510396E-2</c:v>
                </c:pt>
                <c:pt idx="23">
                  <c:v>2.0904421034430822E-2</c:v>
                </c:pt>
                <c:pt idx="24">
                  <c:v>3.3069259318991823E-2</c:v>
                </c:pt>
                <c:pt idx="25">
                  <c:v>3.1914094541075633E-2</c:v>
                </c:pt>
                <c:pt idx="26">
                  <c:v>2.8637400407671883E-2</c:v>
                </c:pt>
                <c:pt idx="27">
                  <c:v>3.8282692468812898E-2</c:v>
                </c:pt>
                <c:pt idx="28">
                  <c:v>9.7766217058401869E-2</c:v>
                </c:pt>
                <c:pt idx="29">
                  <c:v>9.426627203685034E-2</c:v>
                </c:pt>
              </c:numCache>
            </c:numRef>
          </c:xVal>
          <c:yVal>
            <c:numRef>
              <c:f>m!$CP$95:$DT$95</c:f>
              <c:numCache>
                <c:formatCode>General</c:formatCode>
                <c:ptCount val="31"/>
                <c:pt idx="0">
                  <c:v>7.230064864592558</c:v>
                </c:pt>
                <c:pt idx="1">
                  <c:v>7.8432795970043863</c:v>
                </c:pt>
                <c:pt idx="2">
                  <c:v>7.1611992718238096</c:v>
                </c:pt>
                <c:pt idx="3">
                  <c:v>8.5921413030732001</c:v>
                </c:pt>
                <c:pt idx="4">
                  <c:v>6.661272134560023</c:v>
                </c:pt>
                <c:pt idx="5">
                  <c:v>7.7435399296450607</c:v>
                </c:pt>
                <c:pt idx="6">
                  <c:v>6.1997981508460969</c:v>
                </c:pt>
                <c:pt idx="7">
                  <c:v>7.7408089896434431</c:v>
                </c:pt>
                <c:pt idx="8">
                  <c:v>8.6625983848095451</c:v>
                </c:pt>
                <c:pt idx="9">
                  <c:v>6.621771797238047</c:v>
                </c:pt>
                <c:pt idx="10">
                  <c:v>6.9659330774762003</c:v>
                </c:pt>
                <c:pt idx="11">
                  <c:v>7.1453382407870949</c:v>
                </c:pt>
                <c:pt idx="12">
                  <c:v>8.4516911292205865</c:v>
                </c:pt>
                <c:pt idx="14">
                  <c:v>6.0778760902500926</c:v>
                </c:pt>
                <c:pt idx="15">
                  <c:v>8.6619524722903734</c:v>
                </c:pt>
                <c:pt idx="18">
                  <c:v>7.3483443733593532</c:v>
                </c:pt>
                <c:pt idx="19">
                  <c:v>8.0072612621981989</c:v>
                </c:pt>
                <c:pt idx="20">
                  <c:v>7.0758839302446521</c:v>
                </c:pt>
                <c:pt idx="21">
                  <c:v>6.8389367669751673</c:v>
                </c:pt>
                <c:pt idx="22">
                  <c:v>6.2031731981670291</c:v>
                </c:pt>
                <c:pt idx="23">
                  <c:v>9.608322876774281</c:v>
                </c:pt>
                <c:pt idx="24">
                  <c:v>8.2080991638713332</c:v>
                </c:pt>
                <c:pt idx="25">
                  <c:v>10.795030638909601</c:v>
                </c:pt>
                <c:pt idx="26">
                  <c:v>9.9406684789797772</c:v>
                </c:pt>
                <c:pt idx="27">
                  <c:v>7.6699085645929568</c:v>
                </c:pt>
                <c:pt idx="28">
                  <c:v>6.1233547438995259</c:v>
                </c:pt>
                <c:pt idx="29">
                  <c:v>6.1359189433264092</c:v>
                </c:pt>
              </c:numCache>
            </c:numRef>
          </c:yVal>
          <c:smooth val="0"/>
          <c:extLst>
            <c:ext xmlns:c16="http://schemas.microsoft.com/office/drawing/2014/chart" uri="{C3380CC4-5D6E-409C-BE32-E72D297353CC}">
              <c16:uniqueId val="{00000003-97A8-4A9E-8AA2-37427C0227DF}"/>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m!$DU$108:$DX$108</c:f>
              <c:numCache>
                <c:formatCode>General</c:formatCode>
                <c:ptCount val="4"/>
                <c:pt idx="1">
                  <c:v>3.4701885708545627E-2</c:v>
                </c:pt>
              </c:numCache>
            </c:numRef>
          </c:xVal>
          <c:yVal>
            <c:numRef>
              <c:f>m!$DU$95:$DX$95</c:f>
              <c:numCache>
                <c:formatCode>General</c:formatCode>
                <c:ptCount val="4"/>
                <c:pt idx="1">
                  <c:v>11.627400337732656</c:v>
                </c:pt>
              </c:numCache>
            </c:numRef>
          </c:yVal>
          <c:smooth val="0"/>
          <c:extLst>
            <c:ext xmlns:c16="http://schemas.microsoft.com/office/drawing/2014/chart" uri="{C3380CC4-5D6E-409C-BE32-E72D297353CC}">
              <c16:uniqueId val="{00000004-97A8-4A9E-8AA2-37427C0227DF}"/>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m!$DY$108:$EL$108</c:f>
              <c:numCache>
                <c:formatCode>General</c:formatCode>
                <c:ptCount val="14"/>
                <c:pt idx="0">
                  <c:v>7.3611442375323809E-3</c:v>
                </c:pt>
                <c:pt idx="1">
                  <c:v>2.6091740046309493E-2</c:v>
                </c:pt>
                <c:pt idx="2">
                  <c:v>3.778811234889904E-2</c:v>
                </c:pt>
                <c:pt idx="3">
                  <c:v>5.4753313669653358E-2</c:v>
                </c:pt>
                <c:pt idx="4">
                  <c:v>8.5520650363639317E-2</c:v>
                </c:pt>
                <c:pt idx="5">
                  <c:v>7.6785584231706686E-2</c:v>
                </c:pt>
                <c:pt idx="6">
                  <c:v>8.2128328687384108E-2</c:v>
                </c:pt>
                <c:pt idx="7">
                  <c:v>6.8312466799255123E-2</c:v>
                </c:pt>
                <c:pt idx="8">
                  <c:v>8.6732767769770749E-2</c:v>
                </c:pt>
                <c:pt idx="10">
                  <c:v>5.9843868532745814E-2</c:v>
                </c:pt>
                <c:pt idx="11">
                  <c:v>7.8612789245365633E-2</c:v>
                </c:pt>
                <c:pt idx="13">
                  <c:v>9.6173840146222433E-2</c:v>
                </c:pt>
              </c:numCache>
            </c:numRef>
          </c:xVal>
          <c:yVal>
            <c:numRef>
              <c:f>m!$DY$95:$EL$95</c:f>
              <c:numCache>
                <c:formatCode>General</c:formatCode>
                <c:ptCount val="14"/>
                <c:pt idx="0">
                  <c:v>11.841933921401584</c:v>
                </c:pt>
                <c:pt idx="1">
                  <c:v>10.112716420782542</c:v>
                </c:pt>
                <c:pt idx="2">
                  <c:v>10.75326981223963</c:v>
                </c:pt>
                <c:pt idx="3">
                  <c:v>12.593437950738654</c:v>
                </c:pt>
                <c:pt idx="4">
                  <c:v>9.9708079988168254</c:v>
                </c:pt>
                <c:pt idx="5">
                  <c:v>12.57159489291657</c:v>
                </c:pt>
                <c:pt idx="6">
                  <c:v>11.025393435074347</c:v>
                </c:pt>
                <c:pt idx="7">
                  <c:v>8.8729996804417208</c:v>
                </c:pt>
                <c:pt idx="8">
                  <c:v>12.254596368878824</c:v>
                </c:pt>
                <c:pt idx="10">
                  <c:v>9.2304269063872528</c:v>
                </c:pt>
                <c:pt idx="11">
                  <c:v>10.128045629794443</c:v>
                </c:pt>
                <c:pt idx="13">
                  <c:v>8.7481293899266319</c:v>
                </c:pt>
              </c:numCache>
            </c:numRef>
          </c:yVal>
          <c:smooth val="0"/>
          <c:extLst>
            <c:ext xmlns:c16="http://schemas.microsoft.com/office/drawing/2014/chart" uri="{C3380CC4-5D6E-409C-BE32-E72D297353CC}">
              <c16:uniqueId val="{00000005-97A8-4A9E-8AA2-37427C0227DF}"/>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m!$AF$108:$AO$108</c:f>
              <c:numCache>
                <c:formatCode>General</c:formatCode>
                <c:ptCount val="10"/>
                <c:pt idx="6">
                  <c:v>8.7961764939928064E-2</c:v>
                </c:pt>
                <c:pt idx="7">
                  <c:v>8.5104610660634725E-2</c:v>
                </c:pt>
                <c:pt idx="8">
                  <c:v>7.4427376085370658E-2</c:v>
                </c:pt>
                <c:pt idx="9">
                  <c:v>3.9378729208722991E-2</c:v>
                </c:pt>
              </c:numCache>
            </c:numRef>
          </c:xVal>
          <c:yVal>
            <c:numRef>
              <c:f>m!$AF$96:$AO$96</c:f>
              <c:numCache>
                <c:formatCode>General</c:formatCode>
                <c:ptCount val="10"/>
                <c:pt idx="6">
                  <c:v>4.6527598235675249</c:v>
                </c:pt>
                <c:pt idx="7">
                  <c:v>4.2805274655235781</c:v>
                </c:pt>
                <c:pt idx="8">
                  <c:v>3.4393569277814708</c:v>
                </c:pt>
                <c:pt idx="9">
                  <c:v>3.6129037340831314</c:v>
                </c:pt>
              </c:numCache>
            </c:numRef>
          </c:yVal>
          <c:smooth val="0"/>
          <c:extLst>
            <c:ext xmlns:c16="http://schemas.microsoft.com/office/drawing/2014/chart" uri="{C3380CC4-5D6E-409C-BE32-E72D297353CC}">
              <c16:uniqueId val="{00000006-97A8-4A9E-8AA2-37427C0227DF}"/>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m!$AP$108:$BL$108</c:f>
              <c:numCache>
                <c:formatCode>General</c:formatCode>
                <c:ptCount val="23"/>
                <c:pt idx="0">
                  <c:v>1.4392232051287623E-2</c:v>
                </c:pt>
                <c:pt idx="1">
                  <c:v>2.4172187650910226E-2</c:v>
                </c:pt>
                <c:pt idx="2">
                  <c:v>9.2210546927829679E-2</c:v>
                </c:pt>
                <c:pt idx="3">
                  <c:v>6.4001701116943643E-2</c:v>
                </c:pt>
                <c:pt idx="4">
                  <c:v>8.2784316886471948E-2</c:v>
                </c:pt>
                <c:pt idx="6">
                  <c:v>8.4808240598231471E-2</c:v>
                </c:pt>
                <c:pt idx="12">
                  <c:v>7.3798334780909872E-2</c:v>
                </c:pt>
                <c:pt idx="19">
                  <c:v>1.5940907564513371E-2</c:v>
                </c:pt>
                <c:pt idx="20">
                  <c:v>3.5270871566977578E-2</c:v>
                </c:pt>
                <c:pt idx="21">
                  <c:v>2.8509755247130571E-2</c:v>
                </c:pt>
              </c:numCache>
            </c:numRef>
          </c:xVal>
          <c:yVal>
            <c:numRef>
              <c:f>m!$AP$96:$BL$96</c:f>
              <c:numCache>
                <c:formatCode>General</c:formatCode>
                <c:ptCount val="23"/>
                <c:pt idx="0">
                  <c:v>5.4755784611121161</c:v>
                </c:pt>
                <c:pt idx="1">
                  <c:v>5.1682826595532747</c:v>
                </c:pt>
                <c:pt idx="2">
                  <c:v>3.0985995787371445</c:v>
                </c:pt>
                <c:pt idx="3">
                  <c:v>3.134879815279314</c:v>
                </c:pt>
                <c:pt idx="4">
                  <c:v>3.0033011206407316</c:v>
                </c:pt>
                <c:pt idx="6">
                  <c:v>2.9529997740314693</c:v>
                </c:pt>
                <c:pt idx="12">
                  <c:v>2.536745078640724</c:v>
                </c:pt>
                <c:pt idx="19">
                  <c:v>5.2461545091174413</c:v>
                </c:pt>
                <c:pt idx="20">
                  <c:v>3.8667689214808134</c:v>
                </c:pt>
                <c:pt idx="21">
                  <c:v>5.2126574434788768</c:v>
                </c:pt>
              </c:numCache>
            </c:numRef>
          </c:yVal>
          <c:smooth val="0"/>
          <c:extLst>
            <c:ext xmlns:c16="http://schemas.microsoft.com/office/drawing/2014/chart" uri="{C3380CC4-5D6E-409C-BE32-E72D297353CC}">
              <c16:uniqueId val="{00000007-97A8-4A9E-8AA2-37427C0227DF}"/>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m!$BM$108:$CO$108</c:f>
              <c:numCache>
                <c:formatCode>General</c:formatCode>
                <c:ptCount val="29"/>
                <c:pt idx="0">
                  <c:v>4.6853564507019947E-2</c:v>
                </c:pt>
                <c:pt idx="1">
                  <c:v>6.8110864550080599E-2</c:v>
                </c:pt>
                <c:pt idx="3">
                  <c:v>2.1488405051508393E-2</c:v>
                </c:pt>
                <c:pt idx="4">
                  <c:v>3.1048324645168823E-2</c:v>
                </c:pt>
                <c:pt idx="5">
                  <c:v>3.8555378419901649E-2</c:v>
                </c:pt>
                <c:pt idx="6">
                  <c:v>5.3872203639017194E-2</c:v>
                </c:pt>
                <c:pt idx="7">
                  <c:v>6.6044804160853898E-2</c:v>
                </c:pt>
                <c:pt idx="8">
                  <c:v>6.8237712990611404E-2</c:v>
                </c:pt>
                <c:pt idx="9">
                  <c:v>6.6551964228173111E-2</c:v>
                </c:pt>
                <c:pt idx="10">
                  <c:v>6.7762351100982429E-2</c:v>
                </c:pt>
                <c:pt idx="11">
                  <c:v>7.8986671191811186E-2</c:v>
                </c:pt>
                <c:pt idx="12">
                  <c:v>8.4386209320913563E-2</c:v>
                </c:pt>
                <c:pt idx="13">
                  <c:v>3.7819627836849154E-2</c:v>
                </c:pt>
                <c:pt idx="14">
                  <c:v>6.1377704783325264E-2</c:v>
                </c:pt>
                <c:pt idx="15">
                  <c:v>5.7940318497491594E-2</c:v>
                </c:pt>
                <c:pt idx="16">
                  <c:v>8.4038381126712469E-2</c:v>
                </c:pt>
                <c:pt idx="17">
                  <c:v>8.7501666903431669E-2</c:v>
                </c:pt>
                <c:pt idx="18">
                  <c:v>7.9839734111066402E-2</c:v>
                </c:pt>
                <c:pt idx="19">
                  <c:v>8.0748563737711304E-2</c:v>
                </c:pt>
              </c:numCache>
            </c:numRef>
          </c:xVal>
          <c:yVal>
            <c:numRef>
              <c:f>m!$BM$96:$CO$96</c:f>
              <c:numCache>
                <c:formatCode>General</c:formatCode>
                <c:ptCount val="29"/>
                <c:pt idx="0">
                  <c:v>7.7033235890944756</c:v>
                </c:pt>
                <c:pt idx="1">
                  <c:v>9.1444916587946974</c:v>
                </c:pt>
                <c:pt idx="3">
                  <c:v>8.7140648971788437</c:v>
                </c:pt>
                <c:pt idx="4">
                  <c:v>12.927157671770168</c:v>
                </c:pt>
                <c:pt idx="5">
                  <c:v>8.3600761384121469</c:v>
                </c:pt>
                <c:pt idx="6">
                  <c:v>8.9999781210833945</c:v>
                </c:pt>
                <c:pt idx="7">
                  <c:v>11.710147435168425</c:v>
                </c:pt>
                <c:pt idx="8">
                  <c:v>9.6604016799591612</c:v>
                </c:pt>
                <c:pt idx="9">
                  <c:v>8.9844518836473455</c:v>
                </c:pt>
                <c:pt idx="10">
                  <c:v>8.1478940601600911</c:v>
                </c:pt>
                <c:pt idx="11">
                  <c:v>7.9194530647955013</c:v>
                </c:pt>
                <c:pt idx="12">
                  <c:v>8.4688373486197897</c:v>
                </c:pt>
                <c:pt idx="13">
                  <c:v>8.1654266073084845</c:v>
                </c:pt>
                <c:pt idx="14">
                  <c:v>10.157317419596724</c:v>
                </c:pt>
                <c:pt idx="15">
                  <c:v>8.4459765120883326</c:v>
                </c:pt>
                <c:pt idx="16">
                  <c:v>8.8566927659923493</c:v>
                </c:pt>
                <c:pt idx="17">
                  <c:v>7.9864493524762779</c:v>
                </c:pt>
                <c:pt idx="18">
                  <c:v>7.5929751024784267</c:v>
                </c:pt>
                <c:pt idx="19">
                  <c:v>7.0417931291632536</c:v>
                </c:pt>
              </c:numCache>
            </c:numRef>
          </c:yVal>
          <c:smooth val="0"/>
          <c:extLst>
            <c:ext xmlns:c16="http://schemas.microsoft.com/office/drawing/2014/chart" uri="{C3380CC4-5D6E-409C-BE32-E72D297353CC}">
              <c16:uniqueId val="{00000008-97A8-4A9E-8AA2-37427C0227DF}"/>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m!$CP$108:$DT$108</c:f>
              <c:numCache>
                <c:formatCode>General</c:formatCode>
                <c:ptCount val="31"/>
                <c:pt idx="0">
                  <c:v>4.3297773300129433E-2</c:v>
                </c:pt>
                <c:pt idx="1">
                  <c:v>6.6130935534151197E-2</c:v>
                </c:pt>
                <c:pt idx="2">
                  <c:v>5.516615427845397E-2</c:v>
                </c:pt>
                <c:pt idx="3">
                  <c:v>5.5292401122578612E-2</c:v>
                </c:pt>
                <c:pt idx="4">
                  <c:v>7.7044127909613444E-2</c:v>
                </c:pt>
                <c:pt idx="5">
                  <c:v>5.2035834128258053E-2</c:v>
                </c:pt>
                <c:pt idx="6">
                  <c:v>8.2027492863262649E-2</c:v>
                </c:pt>
                <c:pt idx="7">
                  <c:v>4.1431568350316243E-2</c:v>
                </c:pt>
                <c:pt idx="8">
                  <c:v>4.7670011131603483E-2</c:v>
                </c:pt>
                <c:pt idx="9">
                  <c:v>4.8053553703230112E-2</c:v>
                </c:pt>
                <c:pt idx="10">
                  <c:v>5.2725101805122271E-2</c:v>
                </c:pt>
                <c:pt idx="11">
                  <c:v>4.5040894194394769E-2</c:v>
                </c:pt>
                <c:pt idx="12">
                  <c:v>5.7225214625532983E-2</c:v>
                </c:pt>
                <c:pt idx="14">
                  <c:v>7.0584990533444941E-2</c:v>
                </c:pt>
                <c:pt idx="15">
                  <c:v>3.6970116012211722E-2</c:v>
                </c:pt>
                <c:pt idx="18">
                  <c:v>5.7970734248348962E-2</c:v>
                </c:pt>
                <c:pt idx="19">
                  <c:v>6.0315122890437042E-2</c:v>
                </c:pt>
                <c:pt idx="20">
                  <c:v>6.677730487031408E-2</c:v>
                </c:pt>
                <c:pt idx="21">
                  <c:v>6.2178225286365837E-2</c:v>
                </c:pt>
                <c:pt idx="22">
                  <c:v>8.100283574510396E-2</c:v>
                </c:pt>
                <c:pt idx="23">
                  <c:v>2.0904421034430822E-2</c:v>
                </c:pt>
                <c:pt idx="24">
                  <c:v>3.3069259318991823E-2</c:v>
                </c:pt>
                <c:pt idx="25">
                  <c:v>3.1914094541075633E-2</c:v>
                </c:pt>
                <c:pt idx="26">
                  <c:v>2.8637400407671883E-2</c:v>
                </c:pt>
                <c:pt idx="27">
                  <c:v>3.8282692468812898E-2</c:v>
                </c:pt>
                <c:pt idx="28">
                  <c:v>9.7766217058401869E-2</c:v>
                </c:pt>
                <c:pt idx="29">
                  <c:v>9.426627203685034E-2</c:v>
                </c:pt>
              </c:numCache>
            </c:numRef>
          </c:xVal>
          <c:yVal>
            <c:numRef>
              <c:f>m!$CP$96:$DT$96</c:f>
              <c:numCache>
                <c:formatCode>General</c:formatCode>
                <c:ptCount val="31"/>
                <c:pt idx="0">
                  <c:v>6.6249810457925706</c:v>
                </c:pt>
                <c:pt idx="1">
                  <c:v>5.9447274054537775</c:v>
                </c:pt>
                <c:pt idx="2">
                  <c:v>4.3790295625014277</c:v>
                </c:pt>
                <c:pt idx="3">
                  <c:v>7.0215974595106143</c:v>
                </c:pt>
                <c:pt idx="4">
                  <c:v>5.4768436761823818</c:v>
                </c:pt>
                <c:pt idx="5">
                  <c:v>4.8822056936446092</c:v>
                </c:pt>
                <c:pt idx="6">
                  <c:v>4.4672288224686083</c:v>
                </c:pt>
                <c:pt idx="7">
                  <c:v>6.5369518717044457</c:v>
                </c:pt>
                <c:pt idx="8">
                  <c:v>7.9590472097189648</c:v>
                </c:pt>
                <c:pt idx="9">
                  <c:v>5.4878070883378705</c:v>
                </c:pt>
                <c:pt idx="10">
                  <c:v>6.5026988056572304</c:v>
                </c:pt>
                <c:pt idx="11">
                  <c:v>6.329848379965453</c:v>
                </c:pt>
                <c:pt idx="12">
                  <c:v>6.2013253457317621</c:v>
                </c:pt>
                <c:pt idx="14">
                  <c:v>5.2492619268133645</c:v>
                </c:pt>
                <c:pt idx="15">
                  <c:v>6.3209002515631276</c:v>
                </c:pt>
                <c:pt idx="18">
                  <c:v>6.4868297836002924</c:v>
                </c:pt>
                <c:pt idx="19">
                  <c:v>5.827620282954654</c:v>
                </c:pt>
                <c:pt idx="20">
                  <c:v>7.0663143302767422</c:v>
                </c:pt>
                <c:pt idx="21">
                  <c:v>5.9628619384453367</c:v>
                </c:pt>
                <c:pt idx="22">
                  <c:v>5.5226853762264438</c:v>
                </c:pt>
                <c:pt idx="23">
                  <c:v>9.7019903060697743</c:v>
                </c:pt>
                <c:pt idx="24">
                  <c:v>7.6053639768993335</c:v>
                </c:pt>
                <c:pt idx="25">
                  <c:v>7.5584542426748964</c:v>
                </c:pt>
                <c:pt idx="26">
                  <c:v>6.9427008530083283</c:v>
                </c:pt>
                <c:pt idx="27">
                  <c:v>6.4055240885023839</c:v>
                </c:pt>
                <c:pt idx="28">
                  <c:v>5.9595789339150782</c:v>
                </c:pt>
                <c:pt idx="29">
                  <c:v>5.8625018670641422</c:v>
                </c:pt>
              </c:numCache>
            </c:numRef>
          </c:yVal>
          <c:smooth val="0"/>
          <c:extLst>
            <c:ext xmlns:c16="http://schemas.microsoft.com/office/drawing/2014/chart" uri="{C3380CC4-5D6E-409C-BE32-E72D297353CC}">
              <c16:uniqueId val="{00000009-97A8-4A9E-8AA2-37427C0227DF}"/>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m!$DU$108:$DX$108</c:f>
              <c:numCache>
                <c:formatCode>General</c:formatCode>
                <c:ptCount val="4"/>
                <c:pt idx="1">
                  <c:v>3.4701885708545627E-2</c:v>
                </c:pt>
              </c:numCache>
            </c:numRef>
          </c:xVal>
          <c:yVal>
            <c:numRef>
              <c:f>m!$DU$96:$DX$96</c:f>
              <c:numCache>
                <c:formatCode>General</c:formatCode>
                <c:ptCount val="4"/>
                <c:pt idx="1">
                  <c:v>8.5837852954236631</c:v>
                </c:pt>
              </c:numCache>
            </c:numRef>
          </c:yVal>
          <c:smooth val="0"/>
          <c:extLst>
            <c:ext xmlns:c16="http://schemas.microsoft.com/office/drawing/2014/chart" uri="{C3380CC4-5D6E-409C-BE32-E72D297353CC}">
              <c16:uniqueId val="{0000000A-97A8-4A9E-8AA2-37427C0227DF}"/>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m!$DY$108:$EL$108</c:f>
              <c:numCache>
                <c:formatCode>General</c:formatCode>
                <c:ptCount val="14"/>
                <c:pt idx="0">
                  <c:v>7.3611442375323809E-3</c:v>
                </c:pt>
                <c:pt idx="1">
                  <c:v>2.6091740046309493E-2</c:v>
                </c:pt>
                <c:pt idx="2">
                  <c:v>3.778811234889904E-2</c:v>
                </c:pt>
                <c:pt idx="3">
                  <c:v>5.4753313669653358E-2</c:v>
                </c:pt>
                <c:pt idx="4">
                  <c:v>8.5520650363639317E-2</c:v>
                </c:pt>
                <c:pt idx="5">
                  <c:v>7.6785584231706686E-2</c:v>
                </c:pt>
                <c:pt idx="6">
                  <c:v>8.2128328687384108E-2</c:v>
                </c:pt>
                <c:pt idx="7">
                  <c:v>6.8312466799255123E-2</c:v>
                </c:pt>
                <c:pt idx="8">
                  <c:v>8.6732767769770749E-2</c:v>
                </c:pt>
                <c:pt idx="10">
                  <c:v>5.9843868532745814E-2</c:v>
                </c:pt>
                <c:pt idx="11">
                  <c:v>7.8612789245365633E-2</c:v>
                </c:pt>
                <c:pt idx="13">
                  <c:v>9.6173840146222433E-2</c:v>
                </c:pt>
              </c:numCache>
            </c:numRef>
          </c:xVal>
          <c:yVal>
            <c:numRef>
              <c:f>m!$DY$96:$EL$96</c:f>
              <c:numCache>
                <c:formatCode>General</c:formatCode>
                <c:ptCount val="14"/>
                <c:pt idx="0">
                  <c:v>8.0736939293288259</c:v>
                </c:pt>
                <c:pt idx="1">
                  <c:v>8.5723204770723118</c:v>
                </c:pt>
                <c:pt idx="2">
                  <c:v>9.3688715981853772</c:v>
                </c:pt>
                <c:pt idx="3">
                  <c:v>11.808645757253798</c:v>
                </c:pt>
                <c:pt idx="4">
                  <c:v>9.3027335683988124</c:v>
                </c:pt>
                <c:pt idx="5">
                  <c:v>8.8407959437509973</c:v>
                </c:pt>
                <c:pt idx="6">
                  <c:v>9.4797698241348378</c:v>
                </c:pt>
                <c:pt idx="7">
                  <c:v>7.8622566156607085</c:v>
                </c:pt>
                <c:pt idx="8">
                  <c:v>9.6176111415033159</c:v>
                </c:pt>
                <c:pt idx="10">
                  <c:v>7.4199267899654808</c:v>
                </c:pt>
                <c:pt idx="11">
                  <c:v>7.9053481326688049</c:v>
                </c:pt>
                <c:pt idx="13">
                  <c:v>7.3530728474436851</c:v>
                </c:pt>
              </c:numCache>
            </c:numRef>
          </c:yVal>
          <c:smooth val="0"/>
          <c:extLst>
            <c:ext xmlns:c16="http://schemas.microsoft.com/office/drawing/2014/chart" uri="{C3380CC4-5D6E-409C-BE32-E72D297353CC}">
              <c16:uniqueId val="{0000000B-97A8-4A9E-8AA2-37427C0227DF}"/>
            </c:ext>
          </c:extLst>
        </c:ser>
        <c:dLbls>
          <c:showLegendKey val="0"/>
          <c:showVal val="0"/>
          <c:showCatName val="0"/>
          <c:showSerName val="0"/>
          <c:showPercent val="0"/>
          <c:showBubbleSize val="0"/>
        </c:dLbls>
        <c:axId val="624399680"/>
        <c:axId val="624400008"/>
        <c:extLst>
          <c:ext xmlns:c15="http://schemas.microsoft.com/office/drawing/2012/chart" uri="{02D57815-91ED-43cb-92C2-25804820EDAC}">
            <c15:filteredScatterSeries>
              <c15:ser>
                <c:idx val="1"/>
                <c:order val="12"/>
                <c:tx>
                  <c:v>In Line, OL</c:v>
                </c:tx>
                <c:spPr>
                  <a:ln w="25400" cap="rnd">
                    <a:noFill/>
                    <a:round/>
                  </a:ln>
                  <a:effectLst/>
                </c:spPr>
                <c:marker>
                  <c:symbol val="circle"/>
                  <c:size val="7"/>
                  <c:spPr>
                    <a:noFill/>
                    <a:ln w="15875">
                      <a:solidFill>
                        <a:schemeClr val="tx1"/>
                      </a:solidFill>
                    </a:ln>
                    <a:effectLst/>
                  </c:spPr>
                </c:marker>
                <c:xVal>
                  <c:numRef>
                    <c:extLst>
                      <c:ext uri="{02D57815-91ED-43cb-92C2-25804820EDAC}">
                        <c15:formulaRef>
                          <c15:sqref>m!$AF$86:$AO$86</c15:sqref>
                        </c15:formulaRef>
                      </c:ext>
                    </c:extLst>
                    <c:numCache>
                      <c:formatCode>General</c:formatCode>
                      <c:ptCount val="10"/>
                      <c:pt idx="6">
                        <c:v>2.60569650261762</c:v>
                      </c:pt>
                      <c:pt idx="7">
                        <c:v>2.8052504067622763</c:v>
                      </c:pt>
                      <c:pt idx="8">
                        <c:v>2.9780821140943421</c:v>
                      </c:pt>
                      <c:pt idx="9">
                        <c:v>3.163643721763262</c:v>
                      </c:pt>
                    </c:numCache>
                  </c:numRef>
                </c:xVal>
                <c:yVal>
                  <c:numRef>
                    <c:extLst>
                      <c:ext uri="{02D57815-91ED-43cb-92C2-25804820EDAC}">
                        <c15:formulaRef>
                          <c15:sqref>m!$AF$91:$AO$91</c15:sqref>
                        </c15:formulaRef>
                      </c:ext>
                    </c:extLst>
                    <c:numCache>
                      <c:formatCode>General</c:formatCode>
                      <c:ptCount val="10"/>
                      <c:pt idx="6">
                        <c:v>3.9502776072221706</c:v>
                      </c:pt>
                      <c:pt idx="7">
                        <c:v>3.8204481933278442</c:v>
                      </c:pt>
                      <c:pt idx="8">
                        <c:v>2.8990463053331168</c:v>
                      </c:pt>
                      <c:pt idx="9">
                        <c:v>3.0460998559525874</c:v>
                      </c:pt>
                    </c:numCache>
                  </c:numRef>
                </c:yVal>
                <c:smooth val="0"/>
                <c:extLst>
                  <c:ext xmlns:c16="http://schemas.microsoft.com/office/drawing/2014/chart" uri="{C3380CC4-5D6E-409C-BE32-E72D297353CC}">
                    <c16:uniqueId val="{0000000C-97A8-4A9E-8AA2-37427C0227DF}"/>
                  </c:ext>
                </c:extLst>
              </c15:ser>
            </c15:filteredScatterSeries>
            <c15:filteredScatterSeries>
              <c15:ser>
                <c:idx val="2"/>
                <c:order val="13"/>
                <c:tx>
                  <c:v>In Line, EM</c:v>
                </c:tx>
                <c:spPr>
                  <a:ln w="25400" cap="rnd">
                    <a:noFill/>
                    <a:round/>
                  </a:ln>
                  <a:effectLst/>
                </c:spPr>
                <c:marker>
                  <c:symbol val="circle"/>
                  <c:size val="7"/>
                  <c:spPr>
                    <a:noFill/>
                    <a:ln w="15875">
                      <a:solidFill>
                        <a:schemeClr val="accent3"/>
                      </a:solidFill>
                    </a:ln>
                    <a:effectLst/>
                  </c:spPr>
                </c:marker>
                <c:xVal>
                  <c:numRef>
                    <c:extLst xmlns:c15="http://schemas.microsoft.com/office/drawing/2012/chart">
                      <c:ext xmlns:c15="http://schemas.microsoft.com/office/drawing/2012/chart" uri="{02D57815-91ED-43cb-92C2-25804820EDAC}">
                        <c15:formulaRef>
                          <c15:sqref>m!$AP$86:$BL$86</c15:sqref>
                        </c15:formulaRef>
                      </c:ext>
                    </c:extLst>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extLst xmlns:c15="http://schemas.microsoft.com/office/drawing/2012/chart">
                      <c:ext xmlns:c15="http://schemas.microsoft.com/office/drawing/2012/chart" uri="{02D57815-91ED-43cb-92C2-25804820EDAC}">
                        <c15:formulaRef>
                          <c15:sqref>m!$AP$91:$BL$91</c15:sqref>
                        </c15:formulaRef>
                      </c:ext>
                    </c:extLst>
                    <c:numCache>
                      <c:formatCode>General</c:formatCode>
                      <c:ptCount val="23"/>
                      <c:pt idx="0">
                        <c:v>3.9015319384578984</c:v>
                      </c:pt>
                      <c:pt idx="1">
                        <c:v>4.0324241551015083</c:v>
                      </c:pt>
                      <c:pt idx="2">
                        <c:v>2.4087539710783048</c:v>
                      </c:pt>
                      <c:pt idx="3">
                        <c:v>2.5988468550675954</c:v>
                      </c:pt>
                      <c:pt idx="4">
                        <c:v>2.4975377660733624</c:v>
                      </c:pt>
                      <c:pt idx="6">
                        <c:v>2.4940490859525726</c:v>
                      </c:pt>
                      <c:pt idx="12">
                        <c:v>2.077389993099553</c:v>
                      </c:pt>
                      <c:pt idx="19">
                        <c:v>3.887685418105959</c:v>
                      </c:pt>
                      <c:pt idx="20">
                        <c:v>3.0668865507265997</c:v>
                      </c:pt>
                      <c:pt idx="21">
                        <c:v>4.0491103337392174</c:v>
                      </c:pt>
                    </c:numCache>
                  </c:numRef>
                </c:yVal>
                <c:smooth val="0"/>
                <c:extLst xmlns:c15="http://schemas.microsoft.com/office/drawing/2012/chart">
                  <c:ext xmlns:c16="http://schemas.microsoft.com/office/drawing/2014/chart" uri="{C3380CC4-5D6E-409C-BE32-E72D297353CC}">
                    <c16:uniqueId val="{0000000D-97A8-4A9E-8AA2-37427C0227DF}"/>
                  </c:ext>
                </c:extLst>
              </c15:ser>
            </c15:filteredScatterSeries>
            <c15:filteredScatterSeries>
              <c15:ser>
                <c:idx val="3"/>
                <c:order val="14"/>
                <c:tx>
                  <c:v>In Line, Shell</c:v>
                </c:tx>
                <c:spPr>
                  <a:ln w="25400" cap="rnd">
                    <a:noFill/>
                    <a:round/>
                  </a:ln>
                  <a:effectLst/>
                </c:spPr>
                <c:marker>
                  <c:symbol val="circle"/>
                  <c:size val="7"/>
                  <c:spPr>
                    <a:noFill/>
                    <a:ln w="15875">
                      <a:solidFill>
                        <a:schemeClr val="accent2"/>
                      </a:solidFill>
                    </a:ln>
                    <a:effectLst/>
                  </c:spPr>
                </c:marker>
                <c:xVal>
                  <c:numRef>
                    <c:extLst xmlns:c15="http://schemas.microsoft.com/office/drawing/2012/chart">
                      <c:ext xmlns:c15="http://schemas.microsoft.com/office/drawing/2012/chart" uri="{02D57815-91ED-43cb-92C2-25804820EDAC}">
                        <c15:formulaRef>
                          <c15:sqref>m!$DU$86:$DX$86</c15:sqref>
                        </c15:formulaRef>
                      </c:ext>
                    </c:extLst>
                    <c:numCache>
                      <c:formatCode>General</c:formatCode>
                      <c:ptCount val="4"/>
                      <c:pt idx="1">
                        <c:v>3.8469075681895233</c:v>
                      </c:pt>
                    </c:numCache>
                  </c:numRef>
                </c:xVal>
                <c:yVal>
                  <c:numRef>
                    <c:extLst xmlns:c15="http://schemas.microsoft.com/office/drawing/2012/chart">
                      <c:ext xmlns:c15="http://schemas.microsoft.com/office/drawing/2012/chart" uri="{02D57815-91ED-43cb-92C2-25804820EDAC}">
                        <c15:formulaRef>
                          <c15:sqref>m!$DU$91:$DX$91</c15:sqref>
                        </c15:formulaRef>
                      </c:ext>
                    </c:extLst>
                    <c:numCache>
                      <c:formatCode>General</c:formatCode>
                      <c:ptCount val="4"/>
                      <c:pt idx="1">
                        <c:v>5.9805420003862961</c:v>
                      </c:pt>
                    </c:numCache>
                  </c:numRef>
                </c:yVal>
                <c:smooth val="0"/>
                <c:extLst xmlns:c15="http://schemas.microsoft.com/office/drawing/2012/chart">
                  <c:ext xmlns:c16="http://schemas.microsoft.com/office/drawing/2014/chart" uri="{C3380CC4-5D6E-409C-BE32-E72D297353CC}">
                    <c16:uniqueId val="{0000000E-97A8-4A9E-8AA2-37427C0227DF}"/>
                  </c:ext>
                </c:extLst>
              </c15:ser>
            </c15:filteredScatterSeries>
          </c:ext>
        </c:extLst>
      </c:scatterChart>
      <c:valAx>
        <c:axId val="624399680"/>
        <c:scaling>
          <c:logBase val="10"/>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s-ES" sz="1400" b="0" i="0" u="none" strike="noStrike" baseline="0">
                    <a:effectLst/>
                  </a:rPr>
                  <a:t>Ratio Measured Dynamic/Static Axial Force, ψ</a:t>
                </a:r>
                <a:r>
                  <a:rPr lang="es-ES" sz="1400" b="0" i="0" u="none" strike="noStrike" baseline="-25000">
                    <a:effectLst/>
                  </a:rPr>
                  <a:t>N</a:t>
                </a:r>
                <a:r>
                  <a:rPr lang="es-ES" sz="1400" b="0" i="0" u="none" strike="noStrike" baseline="0">
                    <a:effectLst/>
                  </a:rPr>
                  <a:t> </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baseline="0">
                    <a:effectLst/>
                  </a:rPr>
                  <a:t>Normalized Fatigue-Equivalent Strain Amplitude,   ϵ̃</a:t>
                </a:r>
                <a:r>
                  <a:rPr lang="en-US" sz="1400" b="0" i="0" baseline="-25000">
                    <a:effectLst/>
                  </a:rPr>
                  <a:t>e</a:t>
                </a:r>
                <a:r>
                  <a:rPr lang="en-US" sz="1400" b="0" i="0" baseline="0">
                    <a:effectLst/>
                  </a:rPr>
                  <a:t> = ϵ</a:t>
                </a:r>
                <a:r>
                  <a:rPr lang="en-US" sz="1400" b="0" i="0" baseline="-25000">
                    <a:effectLst/>
                  </a:rPr>
                  <a:t>e</a:t>
                </a:r>
                <a:r>
                  <a:rPr lang="en-US" sz="1400" b="0" i="0" baseline="0">
                    <a:effectLst/>
                  </a:rPr>
                  <a:t>/(R</a:t>
                </a:r>
                <a:r>
                  <a:rPr lang="en-US" sz="1400" b="0" i="0" baseline="-25000">
                    <a:effectLst/>
                  </a:rPr>
                  <a:t>ϵ</a:t>
                </a:r>
                <a:r>
                  <a:rPr lang="en-US" sz="1400" b="0" i="0" baseline="0">
                    <a:effectLst/>
                  </a:rPr>
                  <a:t>D/L</a:t>
                </a:r>
                <a:r>
                  <a:rPr lang="en-US" sz="1400" b="0" i="0" baseline="-25000">
                    <a:effectLst/>
                  </a:rPr>
                  <a:t>st</a:t>
                </a:r>
                <a:r>
                  <a:rPr lang="en-US" sz="1400" b="0" i="0" baseline="30000">
                    <a:effectLst/>
                  </a:rPr>
                  <a:t>2</a:t>
                </a:r>
                <a:r>
                  <a:rPr lang="en-US" sz="1400" b="0" i="0" baseline="0">
                    <a:effectLst/>
                  </a:rPr>
                  <a:t>)</a:t>
                </a:r>
                <a:endParaRPr lang="en-US" sz="1400">
                  <a:effectLst/>
                </a:endParaRPr>
              </a:p>
            </c:rich>
          </c:tx>
          <c:layout>
            <c:manualLayout>
              <c:xMode val="edge"/>
              <c:yMode val="edge"/>
              <c:x val="1.2786980528916013E-2"/>
              <c:y val="5.1139526362623478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At val="1.0000000000000002E-3"/>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m!$AF$113:$AO$113</c:f>
              <c:numCache>
                <c:formatCode>General</c:formatCode>
                <c:ptCount val="10"/>
                <c:pt idx="6">
                  <c:v>0.13220988624071356</c:v>
                </c:pt>
                <c:pt idx="7">
                  <c:v>0.13862354861363463</c:v>
                </c:pt>
                <c:pt idx="8">
                  <c:v>0.14412975946873419</c:v>
                </c:pt>
                <c:pt idx="9">
                  <c:v>0.14897559475199484</c:v>
                </c:pt>
              </c:numCache>
            </c:numRef>
          </c:xVal>
          <c:yVal>
            <c:numRef>
              <c:f>m!$AF$95:$AO$95</c:f>
              <c:numCache>
                <c:formatCode>General</c:formatCode>
                <c:ptCount val="10"/>
                <c:pt idx="6">
                  <c:v>6.0414806166082506</c:v>
                </c:pt>
                <c:pt idx="7">
                  <c:v>6.1292359928204512</c:v>
                </c:pt>
                <c:pt idx="8">
                  <c:v>5.2848958185987494</c:v>
                </c:pt>
                <c:pt idx="9">
                  <c:v>4.2979154085934459</c:v>
                </c:pt>
              </c:numCache>
            </c:numRef>
          </c:yVal>
          <c:smooth val="0"/>
          <c:extLst>
            <c:ext xmlns:c16="http://schemas.microsoft.com/office/drawing/2014/chart" uri="{C3380CC4-5D6E-409C-BE32-E72D297353CC}">
              <c16:uniqueId val="{00000000-D16A-4C5B-9253-BCF7355F6B88}"/>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m!$AP$113:$BL$113</c:f>
              <c:numCache>
                <c:formatCode>General</c:formatCode>
                <c:ptCount val="23"/>
                <c:pt idx="0">
                  <c:v>4.4379306190494428E-4</c:v>
                </c:pt>
                <c:pt idx="1">
                  <c:v>8.4138179230612206E-4</c:v>
                </c:pt>
                <c:pt idx="2">
                  <c:v>1.5977944249579816E-3</c:v>
                </c:pt>
                <c:pt idx="3">
                  <c:v>2.3640611615414336E-3</c:v>
                </c:pt>
                <c:pt idx="4">
                  <c:v>3.0633786836429503E-3</c:v>
                </c:pt>
                <c:pt idx="6">
                  <c:v>3.9059343741279485E-3</c:v>
                </c:pt>
                <c:pt idx="12">
                  <c:v>5.2374924845658803E-3</c:v>
                </c:pt>
                <c:pt idx="19">
                  <c:v>6.5696220669024964E-4</c:v>
                </c:pt>
                <c:pt idx="20">
                  <c:v>1.2481319126277349E-3</c:v>
                </c:pt>
                <c:pt idx="21">
                  <c:v>8.7868460738200821E-4</c:v>
                </c:pt>
              </c:numCache>
            </c:numRef>
          </c:xVal>
          <c:yVal>
            <c:numRef>
              <c:f>m!$AP$95:$BL$95</c:f>
              <c:numCache>
                <c:formatCode>General</c:formatCode>
                <c:ptCount val="23"/>
                <c:pt idx="0">
                  <c:v>5.0532147082786567</c:v>
                </c:pt>
                <c:pt idx="1">
                  <c:v>3.6133175421953494</c:v>
                </c:pt>
                <c:pt idx="2">
                  <c:v>4.4434942874585293</c:v>
                </c:pt>
                <c:pt idx="3">
                  <c:v>4.9154385147601225</c:v>
                </c:pt>
                <c:pt idx="4">
                  <c:v>5.3963977447979259</c:v>
                </c:pt>
                <c:pt idx="6">
                  <c:v>3.52255142553093</c:v>
                </c:pt>
                <c:pt idx="12">
                  <c:v>4.1401928182528742</c:v>
                </c:pt>
                <c:pt idx="19">
                  <c:v>4.490854651714832</c:v>
                </c:pt>
                <c:pt idx="20">
                  <c:v>4.8959517967458943</c:v>
                </c:pt>
                <c:pt idx="21">
                  <c:v>3.8939295934451761</c:v>
                </c:pt>
              </c:numCache>
            </c:numRef>
          </c:yVal>
          <c:smooth val="0"/>
          <c:extLst>
            <c:ext xmlns:c16="http://schemas.microsoft.com/office/drawing/2014/chart" uri="{C3380CC4-5D6E-409C-BE32-E72D297353CC}">
              <c16:uniqueId val="{00000001-D16A-4C5B-9253-BCF7355F6B88}"/>
            </c:ext>
          </c:extLst>
        </c:ser>
        <c:ser>
          <c:idx val="11"/>
          <c:order val="2"/>
          <c:tx>
            <c:v>CF, Pipe 1</c:v>
          </c:tx>
          <c:spPr>
            <a:ln w="25400" cap="rnd">
              <a:noFill/>
              <a:round/>
            </a:ln>
            <a:effectLst/>
          </c:spPr>
          <c:marker>
            <c:symbol val="x"/>
            <c:size val="7"/>
            <c:spPr>
              <a:noFill/>
              <a:ln w="15875">
                <a:solidFill>
                  <a:schemeClr val="accent6"/>
                </a:solidFill>
              </a:ln>
              <a:effectLst/>
            </c:spPr>
          </c:marker>
          <c:xVal>
            <c:numRef>
              <c:f>m!$BM$113:$CO$113</c:f>
              <c:numCache>
                <c:formatCode>General</c:formatCode>
                <c:ptCount val="29"/>
                <c:pt idx="0">
                  <c:v>6.5138901382717296E-3</c:v>
                </c:pt>
                <c:pt idx="1">
                  <c:v>7.3896184587277187E-3</c:v>
                </c:pt>
                <c:pt idx="3">
                  <c:v>2.1090717249037699E-3</c:v>
                </c:pt>
                <c:pt idx="4">
                  <c:v>2.771620981488723E-3</c:v>
                </c:pt>
                <c:pt idx="5">
                  <c:v>3.7107649168312577E-3</c:v>
                </c:pt>
                <c:pt idx="6">
                  <c:v>4.0895553277085772E-3</c:v>
                </c:pt>
                <c:pt idx="7">
                  <c:v>4.3822413198589712E-3</c:v>
                </c:pt>
                <c:pt idx="8">
                  <c:v>4.6753353848281954E-3</c:v>
                </c:pt>
                <c:pt idx="9">
                  <c:v>5.1322068889790582E-3</c:v>
                </c:pt>
                <c:pt idx="10">
                  <c:v>5.3401123544633946E-3</c:v>
                </c:pt>
                <c:pt idx="11">
                  <c:v>5.3833030806429132E-3</c:v>
                </c:pt>
                <c:pt idx="12">
                  <c:v>5.0552154644590737E-3</c:v>
                </c:pt>
                <c:pt idx="13">
                  <c:v>2.3264528040196908E-3</c:v>
                </c:pt>
                <c:pt idx="14">
                  <c:v>4.7094063620177103E-3</c:v>
                </c:pt>
                <c:pt idx="15">
                  <c:v>5.031591364523867E-3</c:v>
                </c:pt>
                <c:pt idx="16">
                  <c:v>5.3563683794444301E-3</c:v>
                </c:pt>
                <c:pt idx="17">
                  <c:v>5.1615257561847079E-3</c:v>
                </c:pt>
                <c:pt idx="18">
                  <c:v>5.3600499049048511E-3</c:v>
                </c:pt>
                <c:pt idx="19">
                  <c:v>5.5217168286727869E-3</c:v>
                </c:pt>
              </c:numCache>
            </c:numRef>
          </c:xVal>
          <c:yVal>
            <c:numRef>
              <c:f>m!$BM$95:$CO$95</c:f>
              <c:numCache>
                <c:formatCode>General</c:formatCode>
                <c:ptCount val="29"/>
                <c:pt idx="0">
                  <c:v>10.120470713192889</c:v>
                </c:pt>
                <c:pt idx="1">
                  <c:v>8.9453772336192614</c:v>
                </c:pt>
                <c:pt idx="3">
                  <c:v>10.611578666711525</c:v>
                </c:pt>
                <c:pt idx="4">
                  <c:v>13.484969152564005</c:v>
                </c:pt>
                <c:pt idx="5">
                  <c:v>9.6684949677469909</c:v>
                </c:pt>
                <c:pt idx="6">
                  <c:v>10.056504925363537</c:v>
                </c:pt>
                <c:pt idx="7">
                  <c:v>11.387889643620143</c:v>
                </c:pt>
                <c:pt idx="8">
                  <c:v>9.5704123434084227</c:v>
                </c:pt>
                <c:pt idx="9">
                  <c:v>9.3655475104383363</c:v>
                </c:pt>
                <c:pt idx="10">
                  <c:v>7.9975610372982713</c:v>
                </c:pt>
                <c:pt idx="11">
                  <c:v>8.2532209331067783</c:v>
                </c:pt>
                <c:pt idx="12">
                  <c:v>7.954322186490991</c:v>
                </c:pt>
                <c:pt idx="13">
                  <c:v>10.007795801208351</c:v>
                </c:pt>
                <c:pt idx="14">
                  <c:v>9.8621963860643529</c:v>
                </c:pt>
                <c:pt idx="15">
                  <c:v>9.4519747608689038</c:v>
                </c:pt>
                <c:pt idx="16">
                  <c:v>7.5048349972577322</c:v>
                </c:pt>
                <c:pt idx="17">
                  <c:v>7.5765537722697776</c:v>
                </c:pt>
                <c:pt idx="18">
                  <c:v>6.4600890770907728</c:v>
                </c:pt>
                <c:pt idx="19">
                  <c:v>6.3590149916729768</c:v>
                </c:pt>
              </c:numCache>
            </c:numRef>
          </c:yVal>
          <c:smooth val="0"/>
          <c:extLst>
            <c:ext xmlns:c16="http://schemas.microsoft.com/office/drawing/2014/chart" uri="{C3380CC4-5D6E-409C-BE32-E72D297353CC}">
              <c16:uniqueId val="{00000002-D16A-4C5B-9253-BCF7355F6B88}"/>
            </c:ext>
          </c:extLst>
        </c:ser>
        <c:ser>
          <c:idx val="13"/>
          <c:order val="3"/>
          <c:tx>
            <c:v>CF, Pipe 2</c:v>
          </c:tx>
          <c:spPr>
            <a:ln w="25400" cap="rnd">
              <a:noFill/>
              <a:round/>
            </a:ln>
            <a:effectLst/>
          </c:spPr>
          <c:marker>
            <c:symbol val="x"/>
            <c:size val="7"/>
            <c:spPr>
              <a:noFill/>
              <a:ln w="15875">
                <a:solidFill>
                  <a:srgbClr val="00B0F0"/>
                </a:solidFill>
              </a:ln>
              <a:effectLst/>
            </c:spPr>
          </c:marker>
          <c:xVal>
            <c:numRef>
              <c:f>m!$CP$113:$DT$113</c:f>
              <c:numCache>
                <c:formatCode>General</c:formatCode>
                <c:ptCount val="31"/>
                <c:pt idx="0">
                  <c:v>1.7830097026760187E-2</c:v>
                </c:pt>
                <c:pt idx="1">
                  <c:v>2.400645809136541E-2</c:v>
                </c:pt>
                <c:pt idx="2">
                  <c:v>3.0107105719414624E-2</c:v>
                </c:pt>
                <c:pt idx="3">
                  <c:v>3.1475930148898559E-2</c:v>
                </c:pt>
                <c:pt idx="4">
                  <c:v>3.4028370828406936E-2</c:v>
                </c:pt>
                <c:pt idx="5">
                  <c:v>3.7861444824255165E-2</c:v>
                </c:pt>
                <c:pt idx="6">
                  <c:v>3.8840393320812697E-2</c:v>
                </c:pt>
                <c:pt idx="7">
                  <c:v>3.6117529854034394E-2</c:v>
                </c:pt>
                <c:pt idx="8">
                  <c:v>3.5546014701676003E-2</c:v>
                </c:pt>
                <c:pt idx="9">
                  <c:v>3.8841633302714118E-2</c:v>
                </c:pt>
                <c:pt idx="10">
                  <c:v>3.7080340474578609E-2</c:v>
                </c:pt>
                <c:pt idx="11">
                  <c:v>3.7766581043843436E-2</c:v>
                </c:pt>
                <c:pt idx="12">
                  <c:v>3.5613969369398542E-2</c:v>
                </c:pt>
                <c:pt idx="14">
                  <c:v>3.6391898684488985E-2</c:v>
                </c:pt>
                <c:pt idx="15">
                  <c:v>1.4303672589026371E-2</c:v>
                </c:pt>
                <c:pt idx="18">
                  <c:v>4.8228495123824079E-2</c:v>
                </c:pt>
                <c:pt idx="19">
                  <c:v>4.6256516671554428E-2</c:v>
                </c:pt>
                <c:pt idx="20">
                  <c:v>4.4427090052169403E-2</c:v>
                </c:pt>
                <c:pt idx="21">
                  <c:v>4.2717257458107838E-2</c:v>
                </c:pt>
                <c:pt idx="22">
                  <c:v>4.0312921801012987E-2</c:v>
                </c:pt>
                <c:pt idx="23">
                  <c:v>4.8867278392717897E-3</c:v>
                </c:pt>
                <c:pt idx="24">
                  <c:v>1.0380405809143036E-2</c:v>
                </c:pt>
                <c:pt idx="25">
                  <c:v>6.9432841559066063E-3</c:v>
                </c:pt>
                <c:pt idx="26">
                  <c:v>1.4142900471480049E-2</c:v>
                </c:pt>
                <c:pt idx="27">
                  <c:v>9.2033333544638395E-3</c:v>
                </c:pt>
                <c:pt idx="28">
                  <c:v>7.8580213836514229E-2</c:v>
                </c:pt>
                <c:pt idx="29">
                  <c:v>6.9831277282710991E-2</c:v>
                </c:pt>
              </c:numCache>
            </c:numRef>
          </c:xVal>
          <c:yVal>
            <c:numRef>
              <c:f>m!$CP$95:$DT$95</c:f>
              <c:numCache>
                <c:formatCode>General</c:formatCode>
                <c:ptCount val="31"/>
                <c:pt idx="0">
                  <c:v>7.230064864592558</c:v>
                </c:pt>
                <c:pt idx="1">
                  <c:v>7.8432795970043863</c:v>
                </c:pt>
                <c:pt idx="2">
                  <c:v>7.1611992718238096</c:v>
                </c:pt>
                <c:pt idx="3">
                  <c:v>8.5921413030732001</c:v>
                </c:pt>
                <c:pt idx="4">
                  <c:v>6.661272134560023</c:v>
                </c:pt>
                <c:pt idx="5">
                  <c:v>7.7435399296450607</c:v>
                </c:pt>
                <c:pt idx="6">
                  <c:v>6.1997981508460969</c:v>
                </c:pt>
                <c:pt idx="7">
                  <c:v>7.7408089896434431</c:v>
                </c:pt>
                <c:pt idx="8">
                  <c:v>8.6625983848095451</c:v>
                </c:pt>
                <c:pt idx="9">
                  <c:v>6.621771797238047</c:v>
                </c:pt>
                <c:pt idx="10">
                  <c:v>6.9659330774762003</c:v>
                </c:pt>
                <c:pt idx="11">
                  <c:v>7.1453382407870949</c:v>
                </c:pt>
                <c:pt idx="12">
                  <c:v>8.4516911292205865</c:v>
                </c:pt>
                <c:pt idx="14">
                  <c:v>6.0778760902500926</c:v>
                </c:pt>
                <c:pt idx="15">
                  <c:v>8.6619524722903734</c:v>
                </c:pt>
                <c:pt idx="18">
                  <c:v>7.3483443733593532</c:v>
                </c:pt>
                <c:pt idx="19">
                  <c:v>8.0072612621981989</c:v>
                </c:pt>
                <c:pt idx="20">
                  <c:v>7.0758839302446521</c:v>
                </c:pt>
                <c:pt idx="21">
                  <c:v>6.8389367669751673</c:v>
                </c:pt>
                <c:pt idx="22">
                  <c:v>6.2031731981670291</c:v>
                </c:pt>
                <c:pt idx="23">
                  <c:v>9.608322876774281</c:v>
                </c:pt>
                <c:pt idx="24">
                  <c:v>8.2080991638713332</c:v>
                </c:pt>
                <c:pt idx="25">
                  <c:v>10.795030638909601</c:v>
                </c:pt>
                <c:pt idx="26">
                  <c:v>9.9406684789797772</c:v>
                </c:pt>
                <c:pt idx="27">
                  <c:v>7.6699085645929568</c:v>
                </c:pt>
                <c:pt idx="28">
                  <c:v>6.1233547438995259</c:v>
                </c:pt>
                <c:pt idx="29">
                  <c:v>6.1359189433264092</c:v>
                </c:pt>
              </c:numCache>
            </c:numRef>
          </c:yVal>
          <c:smooth val="0"/>
          <c:extLst>
            <c:ext xmlns:c16="http://schemas.microsoft.com/office/drawing/2014/chart" uri="{C3380CC4-5D6E-409C-BE32-E72D297353CC}">
              <c16:uniqueId val="{00000003-D16A-4C5B-9253-BCF7355F6B88}"/>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m!$DU$113:$DX$113</c:f>
              <c:numCache>
                <c:formatCode>General</c:formatCode>
                <c:ptCount val="4"/>
                <c:pt idx="1">
                  <c:v>1.7837144790753334E-2</c:v>
                </c:pt>
              </c:numCache>
            </c:numRef>
          </c:xVal>
          <c:yVal>
            <c:numRef>
              <c:f>m!$DU$95:$DX$95</c:f>
              <c:numCache>
                <c:formatCode>General</c:formatCode>
                <c:ptCount val="4"/>
                <c:pt idx="1">
                  <c:v>11.627400337732656</c:v>
                </c:pt>
              </c:numCache>
            </c:numRef>
          </c:yVal>
          <c:smooth val="0"/>
          <c:extLst>
            <c:ext xmlns:c16="http://schemas.microsoft.com/office/drawing/2014/chart" uri="{C3380CC4-5D6E-409C-BE32-E72D297353CC}">
              <c16:uniqueId val="{00000004-D16A-4C5B-9253-BCF7355F6B88}"/>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m!$DY$113:$EL$113</c:f>
              <c:numCache>
                <c:formatCode>General</c:formatCode>
                <c:ptCount val="14"/>
                <c:pt idx="0">
                  <c:v>5.2163319533422049E-3</c:v>
                </c:pt>
                <c:pt idx="1">
                  <c:v>1.8402970826219122E-2</c:v>
                </c:pt>
                <c:pt idx="2">
                  <c:v>2.4981011313985741E-2</c:v>
                </c:pt>
                <c:pt idx="3">
                  <c:v>2.8792638687945994E-2</c:v>
                </c:pt>
                <c:pt idx="4">
                  <c:v>3.4999624097361993E-2</c:v>
                </c:pt>
                <c:pt idx="5">
                  <c:v>3.8119965430489296E-2</c:v>
                </c:pt>
                <c:pt idx="6">
                  <c:v>3.8675404732699759E-2</c:v>
                </c:pt>
                <c:pt idx="7">
                  <c:v>4.5356395650674203E-2</c:v>
                </c:pt>
                <c:pt idx="8">
                  <c:v>6.5872699414137134E-2</c:v>
                </c:pt>
                <c:pt idx="10">
                  <c:v>6.9037399392285564E-2</c:v>
                </c:pt>
                <c:pt idx="11">
                  <c:v>6.0546773524286855E-2</c:v>
                </c:pt>
                <c:pt idx="13">
                  <c:v>7.6954740125918089E-2</c:v>
                </c:pt>
              </c:numCache>
            </c:numRef>
          </c:xVal>
          <c:yVal>
            <c:numRef>
              <c:f>m!$DY$95:$EL$95</c:f>
              <c:numCache>
                <c:formatCode>General</c:formatCode>
                <c:ptCount val="14"/>
                <c:pt idx="0">
                  <c:v>11.841933921401584</c:v>
                </c:pt>
                <c:pt idx="1">
                  <c:v>10.112716420782542</c:v>
                </c:pt>
                <c:pt idx="2">
                  <c:v>10.75326981223963</c:v>
                </c:pt>
                <c:pt idx="3">
                  <c:v>12.593437950738654</c:v>
                </c:pt>
                <c:pt idx="4">
                  <c:v>9.9708079988168254</c:v>
                </c:pt>
                <c:pt idx="5">
                  <c:v>12.57159489291657</c:v>
                </c:pt>
                <c:pt idx="6">
                  <c:v>11.025393435074347</c:v>
                </c:pt>
                <c:pt idx="7">
                  <c:v>8.8729996804417208</c:v>
                </c:pt>
                <c:pt idx="8">
                  <c:v>12.254596368878824</c:v>
                </c:pt>
                <c:pt idx="10">
                  <c:v>9.2304269063872528</c:v>
                </c:pt>
                <c:pt idx="11">
                  <c:v>10.128045629794443</c:v>
                </c:pt>
                <c:pt idx="13">
                  <c:v>8.7481293899266319</c:v>
                </c:pt>
              </c:numCache>
            </c:numRef>
          </c:yVal>
          <c:smooth val="0"/>
          <c:extLst>
            <c:ext xmlns:c16="http://schemas.microsoft.com/office/drawing/2014/chart" uri="{C3380CC4-5D6E-409C-BE32-E72D297353CC}">
              <c16:uniqueId val="{00000005-D16A-4C5B-9253-BCF7355F6B88}"/>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m!$AF$113:$AO$113</c:f>
              <c:numCache>
                <c:formatCode>General</c:formatCode>
                <c:ptCount val="10"/>
                <c:pt idx="6">
                  <c:v>0.13220988624071356</c:v>
                </c:pt>
                <c:pt idx="7">
                  <c:v>0.13862354861363463</c:v>
                </c:pt>
                <c:pt idx="8">
                  <c:v>0.14412975946873419</c:v>
                </c:pt>
                <c:pt idx="9">
                  <c:v>0.14897559475199484</c:v>
                </c:pt>
              </c:numCache>
            </c:numRef>
          </c:xVal>
          <c:yVal>
            <c:numRef>
              <c:f>m!$AF$96:$AO$96</c:f>
              <c:numCache>
                <c:formatCode>General</c:formatCode>
                <c:ptCount val="10"/>
                <c:pt idx="6">
                  <c:v>4.6527598235675249</c:v>
                </c:pt>
                <c:pt idx="7">
                  <c:v>4.2805274655235781</c:v>
                </c:pt>
                <c:pt idx="8">
                  <c:v>3.4393569277814708</c:v>
                </c:pt>
                <c:pt idx="9">
                  <c:v>3.6129037340831314</c:v>
                </c:pt>
              </c:numCache>
            </c:numRef>
          </c:yVal>
          <c:smooth val="0"/>
          <c:extLst>
            <c:ext xmlns:c16="http://schemas.microsoft.com/office/drawing/2014/chart" uri="{C3380CC4-5D6E-409C-BE32-E72D297353CC}">
              <c16:uniqueId val="{00000006-D16A-4C5B-9253-BCF7355F6B88}"/>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m!$AP$113:$BL$113</c:f>
              <c:numCache>
                <c:formatCode>General</c:formatCode>
                <c:ptCount val="23"/>
                <c:pt idx="0">
                  <c:v>4.4379306190494428E-4</c:v>
                </c:pt>
                <c:pt idx="1">
                  <c:v>8.4138179230612206E-4</c:v>
                </c:pt>
                <c:pt idx="2">
                  <c:v>1.5977944249579816E-3</c:v>
                </c:pt>
                <c:pt idx="3">
                  <c:v>2.3640611615414336E-3</c:v>
                </c:pt>
                <c:pt idx="4">
                  <c:v>3.0633786836429503E-3</c:v>
                </c:pt>
                <c:pt idx="6">
                  <c:v>3.9059343741279485E-3</c:v>
                </c:pt>
                <c:pt idx="12">
                  <c:v>5.2374924845658803E-3</c:v>
                </c:pt>
                <c:pt idx="19">
                  <c:v>6.5696220669024964E-4</c:v>
                </c:pt>
                <c:pt idx="20">
                  <c:v>1.2481319126277349E-3</c:v>
                </c:pt>
                <c:pt idx="21">
                  <c:v>8.7868460738200821E-4</c:v>
                </c:pt>
              </c:numCache>
            </c:numRef>
          </c:xVal>
          <c:yVal>
            <c:numRef>
              <c:f>m!$AP$96:$BL$96</c:f>
              <c:numCache>
                <c:formatCode>General</c:formatCode>
                <c:ptCount val="23"/>
                <c:pt idx="0">
                  <c:v>5.4755784611121161</c:v>
                </c:pt>
                <c:pt idx="1">
                  <c:v>5.1682826595532747</c:v>
                </c:pt>
                <c:pt idx="2">
                  <c:v>3.0985995787371445</c:v>
                </c:pt>
                <c:pt idx="3">
                  <c:v>3.134879815279314</c:v>
                </c:pt>
                <c:pt idx="4">
                  <c:v>3.0033011206407316</c:v>
                </c:pt>
                <c:pt idx="6">
                  <c:v>2.9529997740314693</c:v>
                </c:pt>
                <c:pt idx="12">
                  <c:v>2.536745078640724</c:v>
                </c:pt>
                <c:pt idx="19">
                  <c:v>5.2461545091174413</c:v>
                </c:pt>
                <c:pt idx="20">
                  <c:v>3.8667689214808134</c:v>
                </c:pt>
                <c:pt idx="21">
                  <c:v>5.2126574434788768</c:v>
                </c:pt>
              </c:numCache>
            </c:numRef>
          </c:yVal>
          <c:smooth val="0"/>
          <c:extLst>
            <c:ext xmlns:c16="http://schemas.microsoft.com/office/drawing/2014/chart" uri="{C3380CC4-5D6E-409C-BE32-E72D297353CC}">
              <c16:uniqueId val="{00000007-D16A-4C5B-9253-BCF7355F6B88}"/>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m!$BM$113:$CO$113</c:f>
              <c:numCache>
                <c:formatCode>General</c:formatCode>
                <c:ptCount val="29"/>
                <c:pt idx="0">
                  <c:v>6.5138901382717296E-3</c:v>
                </c:pt>
                <c:pt idx="1">
                  <c:v>7.3896184587277187E-3</c:v>
                </c:pt>
                <c:pt idx="3">
                  <c:v>2.1090717249037699E-3</c:v>
                </c:pt>
                <c:pt idx="4">
                  <c:v>2.771620981488723E-3</c:v>
                </c:pt>
                <c:pt idx="5">
                  <c:v>3.7107649168312577E-3</c:v>
                </c:pt>
                <c:pt idx="6">
                  <c:v>4.0895553277085772E-3</c:v>
                </c:pt>
                <c:pt idx="7">
                  <c:v>4.3822413198589712E-3</c:v>
                </c:pt>
                <c:pt idx="8">
                  <c:v>4.6753353848281954E-3</c:v>
                </c:pt>
                <c:pt idx="9">
                  <c:v>5.1322068889790582E-3</c:v>
                </c:pt>
                <c:pt idx="10">
                  <c:v>5.3401123544633946E-3</c:v>
                </c:pt>
                <c:pt idx="11">
                  <c:v>5.3833030806429132E-3</c:v>
                </c:pt>
                <c:pt idx="12">
                  <c:v>5.0552154644590737E-3</c:v>
                </c:pt>
                <c:pt idx="13">
                  <c:v>2.3264528040196908E-3</c:v>
                </c:pt>
                <c:pt idx="14">
                  <c:v>4.7094063620177103E-3</c:v>
                </c:pt>
                <c:pt idx="15">
                  <c:v>5.031591364523867E-3</c:v>
                </c:pt>
                <c:pt idx="16">
                  <c:v>5.3563683794444301E-3</c:v>
                </c:pt>
                <c:pt idx="17">
                  <c:v>5.1615257561847079E-3</c:v>
                </c:pt>
                <c:pt idx="18">
                  <c:v>5.3600499049048511E-3</c:v>
                </c:pt>
                <c:pt idx="19">
                  <c:v>5.5217168286727869E-3</c:v>
                </c:pt>
              </c:numCache>
            </c:numRef>
          </c:xVal>
          <c:yVal>
            <c:numRef>
              <c:f>m!$BM$96:$CO$96</c:f>
              <c:numCache>
                <c:formatCode>General</c:formatCode>
                <c:ptCount val="29"/>
                <c:pt idx="0">
                  <c:v>7.7033235890944756</c:v>
                </c:pt>
                <c:pt idx="1">
                  <c:v>9.1444916587946974</c:v>
                </c:pt>
                <c:pt idx="3">
                  <c:v>8.7140648971788437</c:v>
                </c:pt>
                <c:pt idx="4">
                  <c:v>12.927157671770168</c:v>
                </c:pt>
                <c:pt idx="5">
                  <c:v>8.3600761384121469</c:v>
                </c:pt>
                <c:pt idx="6">
                  <c:v>8.9999781210833945</c:v>
                </c:pt>
                <c:pt idx="7">
                  <c:v>11.710147435168425</c:v>
                </c:pt>
                <c:pt idx="8">
                  <c:v>9.6604016799591612</c:v>
                </c:pt>
                <c:pt idx="9">
                  <c:v>8.9844518836473455</c:v>
                </c:pt>
                <c:pt idx="10">
                  <c:v>8.1478940601600911</c:v>
                </c:pt>
                <c:pt idx="11">
                  <c:v>7.9194530647955013</c:v>
                </c:pt>
                <c:pt idx="12">
                  <c:v>8.4688373486197897</c:v>
                </c:pt>
                <c:pt idx="13">
                  <c:v>8.1654266073084845</c:v>
                </c:pt>
                <c:pt idx="14">
                  <c:v>10.157317419596724</c:v>
                </c:pt>
                <c:pt idx="15">
                  <c:v>8.4459765120883326</c:v>
                </c:pt>
                <c:pt idx="16">
                  <c:v>8.8566927659923493</c:v>
                </c:pt>
                <c:pt idx="17">
                  <c:v>7.9864493524762779</c:v>
                </c:pt>
                <c:pt idx="18">
                  <c:v>7.5929751024784267</c:v>
                </c:pt>
                <c:pt idx="19">
                  <c:v>7.0417931291632536</c:v>
                </c:pt>
              </c:numCache>
            </c:numRef>
          </c:yVal>
          <c:smooth val="0"/>
          <c:extLst>
            <c:ext xmlns:c16="http://schemas.microsoft.com/office/drawing/2014/chart" uri="{C3380CC4-5D6E-409C-BE32-E72D297353CC}">
              <c16:uniqueId val="{00000008-D16A-4C5B-9253-BCF7355F6B88}"/>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m!$CP$113:$DT$113</c:f>
              <c:numCache>
                <c:formatCode>General</c:formatCode>
                <c:ptCount val="31"/>
                <c:pt idx="0">
                  <c:v>1.7830097026760187E-2</c:v>
                </c:pt>
                <c:pt idx="1">
                  <c:v>2.400645809136541E-2</c:v>
                </c:pt>
                <c:pt idx="2">
                  <c:v>3.0107105719414624E-2</c:v>
                </c:pt>
                <c:pt idx="3">
                  <c:v>3.1475930148898559E-2</c:v>
                </c:pt>
                <c:pt idx="4">
                  <c:v>3.4028370828406936E-2</c:v>
                </c:pt>
                <c:pt idx="5">
                  <c:v>3.7861444824255165E-2</c:v>
                </c:pt>
                <c:pt idx="6">
                  <c:v>3.8840393320812697E-2</c:v>
                </c:pt>
                <c:pt idx="7">
                  <c:v>3.6117529854034394E-2</c:v>
                </c:pt>
                <c:pt idx="8">
                  <c:v>3.5546014701676003E-2</c:v>
                </c:pt>
                <c:pt idx="9">
                  <c:v>3.8841633302714118E-2</c:v>
                </c:pt>
                <c:pt idx="10">
                  <c:v>3.7080340474578609E-2</c:v>
                </c:pt>
                <c:pt idx="11">
                  <c:v>3.7766581043843436E-2</c:v>
                </c:pt>
                <c:pt idx="12">
                  <c:v>3.5613969369398542E-2</c:v>
                </c:pt>
                <c:pt idx="14">
                  <c:v>3.6391898684488985E-2</c:v>
                </c:pt>
                <c:pt idx="15">
                  <c:v>1.4303672589026371E-2</c:v>
                </c:pt>
                <c:pt idx="18">
                  <c:v>4.8228495123824079E-2</c:v>
                </c:pt>
                <c:pt idx="19">
                  <c:v>4.6256516671554428E-2</c:v>
                </c:pt>
                <c:pt idx="20">
                  <c:v>4.4427090052169403E-2</c:v>
                </c:pt>
                <c:pt idx="21">
                  <c:v>4.2717257458107838E-2</c:v>
                </c:pt>
                <c:pt idx="22">
                  <c:v>4.0312921801012987E-2</c:v>
                </c:pt>
                <c:pt idx="23">
                  <c:v>4.8867278392717897E-3</c:v>
                </c:pt>
                <c:pt idx="24">
                  <c:v>1.0380405809143036E-2</c:v>
                </c:pt>
                <c:pt idx="25">
                  <c:v>6.9432841559066063E-3</c:v>
                </c:pt>
                <c:pt idx="26">
                  <c:v>1.4142900471480049E-2</c:v>
                </c:pt>
                <c:pt idx="27">
                  <c:v>9.2033333544638395E-3</c:v>
                </c:pt>
                <c:pt idx="28">
                  <c:v>7.8580213836514229E-2</c:v>
                </c:pt>
                <c:pt idx="29">
                  <c:v>6.9831277282710991E-2</c:v>
                </c:pt>
              </c:numCache>
            </c:numRef>
          </c:xVal>
          <c:yVal>
            <c:numRef>
              <c:f>m!$CP$96:$DT$96</c:f>
              <c:numCache>
                <c:formatCode>General</c:formatCode>
                <c:ptCount val="31"/>
                <c:pt idx="0">
                  <c:v>6.6249810457925706</c:v>
                </c:pt>
                <c:pt idx="1">
                  <c:v>5.9447274054537775</c:v>
                </c:pt>
                <c:pt idx="2">
                  <c:v>4.3790295625014277</c:v>
                </c:pt>
                <c:pt idx="3">
                  <c:v>7.0215974595106143</c:v>
                </c:pt>
                <c:pt idx="4">
                  <c:v>5.4768436761823818</c:v>
                </c:pt>
                <c:pt idx="5">
                  <c:v>4.8822056936446092</c:v>
                </c:pt>
                <c:pt idx="6">
                  <c:v>4.4672288224686083</c:v>
                </c:pt>
                <c:pt idx="7">
                  <c:v>6.5369518717044457</c:v>
                </c:pt>
                <c:pt idx="8">
                  <c:v>7.9590472097189648</c:v>
                </c:pt>
                <c:pt idx="9">
                  <c:v>5.4878070883378705</c:v>
                </c:pt>
                <c:pt idx="10">
                  <c:v>6.5026988056572304</c:v>
                </c:pt>
                <c:pt idx="11">
                  <c:v>6.329848379965453</c:v>
                </c:pt>
                <c:pt idx="12">
                  <c:v>6.2013253457317621</c:v>
                </c:pt>
                <c:pt idx="14">
                  <c:v>5.2492619268133645</c:v>
                </c:pt>
                <c:pt idx="15">
                  <c:v>6.3209002515631276</c:v>
                </c:pt>
                <c:pt idx="18">
                  <c:v>6.4868297836002924</c:v>
                </c:pt>
                <c:pt idx="19">
                  <c:v>5.827620282954654</c:v>
                </c:pt>
                <c:pt idx="20">
                  <c:v>7.0663143302767422</c:v>
                </c:pt>
                <c:pt idx="21">
                  <c:v>5.9628619384453367</c:v>
                </c:pt>
                <c:pt idx="22">
                  <c:v>5.5226853762264438</c:v>
                </c:pt>
                <c:pt idx="23">
                  <c:v>9.7019903060697743</c:v>
                </c:pt>
                <c:pt idx="24">
                  <c:v>7.6053639768993335</c:v>
                </c:pt>
                <c:pt idx="25">
                  <c:v>7.5584542426748964</c:v>
                </c:pt>
                <c:pt idx="26">
                  <c:v>6.9427008530083283</c:v>
                </c:pt>
                <c:pt idx="27">
                  <c:v>6.4055240885023839</c:v>
                </c:pt>
                <c:pt idx="28">
                  <c:v>5.9595789339150782</c:v>
                </c:pt>
                <c:pt idx="29">
                  <c:v>5.8625018670641422</c:v>
                </c:pt>
              </c:numCache>
            </c:numRef>
          </c:yVal>
          <c:smooth val="0"/>
          <c:extLst>
            <c:ext xmlns:c16="http://schemas.microsoft.com/office/drawing/2014/chart" uri="{C3380CC4-5D6E-409C-BE32-E72D297353CC}">
              <c16:uniqueId val="{00000009-D16A-4C5B-9253-BCF7355F6B88}"/>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m!$DU$113:$DX$113</c:f>
              <c:numCache>
                <c:formatCode>General</c:formatCode>
                <c:ptCount val="4"/>
                <c:pt idx="1">
                  <c:v>1.7837144790753334E-2</c:v>
                </c:pt>
              </c:numCache>
            </c:numRef>
          </c:xVal>
          <c:yVal>
            <c:numRef>
              <c:f>m!$DU$96:$DX$96</c:f>
              <c:numCache>
                <c:formatCode>General</c:formatCode>
                <c:ptCount val="4"/>
                <c:pt idx="1">
                  <c:v>8.5837852954236631</c:v>
                </c:pt>
              </c:numCache>
            </c:numRef>
          </c:yVal>
          <c:smooth val="0"/>
          <c:extLst>
            <c:ext xmlns:c16="http://schemas.microsoft.com/office/drawing/2014/chart" uri="{C3380CC4-5D6E-409C-BE32-E72D297353CC}">
              <c16:uniqueId val="{0000000A-D16A-4C5B-9253-BCF7355F6B88}"/>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m!$DY$113:$EL$113</c:f>
              <c:numCache>
                <c:formatCode>General</c:formatCode>
                <c:ptCount val="14"/>
                <c:pt idx="0">
                  <c:v>5.2163319533422049E-3</c:v>
                </c:pt>
                <c:pt idx="1">
                  <c:v>1.8402970826219122E-2</c:v>
                </c:pt>
                <c:pt idx="2">
                  <c:v>2.4981011313985741E-2</c:v>
                </c:pt>
                <c:pt idx="3">
                  <c:v>2.8792638687945994E-2</c:v>
                </c:pt>
                <c:pt idx="4">
                  <c:v>3.4999624097361993E-2</c:v>
                </c:pt>
                <c:pt idx="5">
                  <c:v>3.8119965430489296E-2</c:v>
                </c:pt>
                <c:pt idx="6">
                  <c:v>3.8675404732699759E-2</c:v>
                </c:pt>
                <c:pt idx="7">
                  <c:v>4.5356395650674203E-2</c:v>
                </c:pt>
                <c:pt idx="8">
                  <c:v>6.5872699414137134E-2</c:v>
                </c:pt>
                <c:pt idx="10">
                  <c:v>6.9037399392285564E-2</c:v>
                </c:pt>
                <c:pt idx="11">
                  <c:v>6.0546773524286855E-2</c:v>
                </c:pt>
                <c:pt idx="13">
                  <c:v>7.6954740125918089E-2</c:v>
                </c:pt>
              </c:numCache>
            </c:numRef>
          </c:xVal>
          <c:yVal>
            <c:numRef>
              <c:f>m!$DY$96:$EL$96</c:f>
              <c:numCache>
                <c:formatCode>General</c:formatCode>
                <c:ptCount val="14"/>
                <c:pt idx="0">
                  <c:v>8.0736939293288259</c:v>
                </c:pt>
                <c:pt idx="1">
                  <c:v>8.5723204770723118</c:v>
                </c:pt>
                <c:pt idx="2">
                  <c:v>9.3688715981853772</c:v>
                </c:pt>
                <c:pt idx="3">
                  <c:v>11.808645757253798</c:v>
                </c:pt>
                <c:pt idx="4">
                  <c:v>9.3027335683988124</c:v>
                </c:pt>
                <c:pt idx="5">
                  <c:v>8.8407959437509973</c:v>
                </c:pt>
                <c:pt idx="6">
                  <c:v>9.4797698241348378</c:v>
                </c:pt>
                <c:pt idx="7">
                  <c:v>7.8622566156607085</c:v>
                </c:pt>
                <c:pt idx="8">
                  <c:v>9.6176111415033159</c:v>
                </c:pt>
                <c:pt idx="10">
                  <c:v>7.4199267899654808</c:v>
                </c:pt>
                <c:pt idx="11">
                  <c:v>7.9053481326688049</c:v>
                </c:pt>
                <c:pt idx="13">
                  <c:v>7.3530728474436851</c:v>
                </c:pt>
              </c:numCache>
            </c:numRef>
          </c:yVal>
          <c:smooth val="0"/>
          <c:extLst>
            <c:ext xmlns:c16="http://schemas.microsoft.com/office/drawing/2014/chart" uri="{C3380CC4-5D6E-409C-BE32-E72D297353CC}">
              <c16:uniqueId val="{0000000B-D16A-4C5B-9253-BCF7355F6B88}"/>
            </c:ext>
          </c:extLst>
        </c:ser>
        <c:dLbls>
          <c:showLegendKey val="0"/>
          <c:showVal val="0"/>
          <c:showCatName val="0"/>
          <c:showSerName val="0"/>
          <c:showPercent val="0"/>
          <c:showBubbleSize val="0"/>
        </c:dLbls>
        <c:axId val="624399680"/>
        <c:axId val="624400008"/>
        <c:extLst>
          <c:ext xmlns:c15="http://schemas.microsoft.com/office/drawing/2012/chart" uri="{02D57815-91ED-43cb-92C2-25804820EDAC}">
            <c15:filteredScatterSeries>
              <c15:ser>
                <c:idx val="1"/>
                <c:order val="12"/>
                <c:tx>
                  <c:v>In Line, OL</c:v>
                </c:tx>
                <c:spPr>
                  <a:ln w="25400" cap="rnd">
                    <a:noFill/>
                    <a:round/>
                  </a:ln>
                  <a:effectLst/>
                </c:spPr>
                <c:marker>
                  <c:symbol val="circle"/>
                  <c:size val="7"/>
                  <c:spPr>
                    <a:noFill/>
                    <a:ln w="15875">
                      <a:solidFill>
                        <a:schemeClr val="tx1"/>
                      </a:solidFill>
                    </a:ln>
                    <a:effectLst/>
                  </c:spPr>
                </c:marker>
                <c:xVal>
                  <c:numRef>
                    <c:extLst>
                      <c:ext uri="{02D57815-91ED-43cb-92C2-25804820EDAC}">
                        <c15:formulaRef>
                          <c15:sqref>m!$AF$86:$AO$86</c15:sqref>
                        </c15:formulaRef>
                      </c:ext>
                    </c:extLst>
                    <c:numCache>
                      <c:formatCode>General</c:formatCode>
                      <c:ptCount val="10"/>
                      <c:pt idx="6">
                        <c:v>2.60569650261762</c:v>
                      </c:pt>
                      <c:pt idx="7">
                        <c:v>2.8052504067622763</c:v>
                      </c:pt>
                      <c:pt idx="8">
                        <c:v>2.9780821140943421</c:v>
                      </c:pt>
                      <c:pt idx="9">
                        <c:v>3.163643721763262</c:v>
                      </c:pt>
                    </c:numCache>
                  </c:numRef>
                </c:xVal>
                <c:yVal>
                  <c:numRef>
                    <c:extLst>
                      <c:ext uri="{02D57815-91ED-43cb-92C2-25804820EDAC}">
                        <c15:formulaRef>
                          <c15:sqref>m!$AF$91:$AO$91</c15:sqref>
                        </c15:formulaRef>
                      </c:ext>
                    </c:extLst>
                    <c:numCache>
                      <c:formatCode>General</c:formatCode>
                      <c:ptCount val="10"/>
                      <c:pt idx="6">
                        <c:v>3.9502776072221706</c:v>
                      </c:pt>
                      <c:pt idx="7">
                        <c:v>3.8204481933278442</c:v>
                      </c:pt>
                      <c:pt idx="8">
                        <c:v>2.8990463053331168</c:v>
                      </c:pt>
                      <c:pt idx="9">
                        <c:v>3.0460998559525874</c:v>
                      </c:pt>
                    </c:numCache>
                  </c:numRef>
                </c:yVal>
                <c:smooth val="0"/>
                <c:extLst>
                  <c:ext xmlns:c16="http://schemas.microsoft.com/office/drawing/2014/chart" uri="{C3380CC4-5D6E-409C-BE32-E72D297353CC}">
                    <c16:uniqueId val="{0000000C-D16A-4C5B-9253-BCF7355F6B88}"/>
                  </c:ext>
                </c:extLst>
              </c15:ser>
            </c15:filteredScatterSeries>
            <c15:filteredScatterSeries>
              <c15:ser>
                <c:idx val="2"/>
                <c:order val="13"/>
                <c:tx>
                  <c:v>In Line, EM</c:v>
                </c:tx>
                <c:spPr>
                  <a:ln w="25400" cap="rnd">
                    <a:noFill/>
                    <a:round/>
                  </a:ln>
                  <a:effectLst/>
                </c:spPr>
                <c:marker>
                  <c:symbol val="circle"/>
                  <c:size val="7"/>
                  <c:spPr>
                    <a:noFill/>
                    <a:ln w="15875">
                      <a:solidFill>
                        <a:schemeClr val="accent3"/>
                      </a:solidFill>
                    </a:ln>
                    <a:effectLst/>
                  </c:spPr>
                </c:marker>
                <c:xVal>
                  <c:numRef>
                    <c:extLst xmlns:c15="http://schemas.microsoft.com/office/drawing/2012/chart">
                      <c:ext xmlns:c15="http://schemas.microsoft.com/office/drawing/2012/chart" uri="{02D57815-91ED-43cb-92C2-25804820EDAC}">
                        <c15:formulaRef>
                          <c15:sqref>m!$AP$86:$BL$86</c15:sqref>
                        </c15:formulaRef>
                      </c:ext>
                    </c:extLst>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extLst xmlns:c15="http://schemas.microsoft.com/office/drawing/2012/chart">
                      <c:ext xmlns:c15="http://schemas.microsoft.com/office/drawing/2012/chart" uri="{02D57815-91ED-43cb-92C2-25804820EDAC}">
                        <c15:formulaRef>
                          <c15:sqref>m!$AP$91:$BL$91</c15:sqref>
                        </c15:formulaRef>
                      </c:ext>
                    </c:extLst>
                    <c:numCache>
                      <c:formatCode>General</c:formatCode>
                      <c:ptCount val="23"/>
                      <c:pt idx="0">
                        <c:v>3.9015319384578984</c:v>
                      </c:pt>
                      <c:pt idx="1">
                        <c:v>4.0324241551015083</c:v>
                      </c:pt>
                      <c:pt idx="2">
                        <c:v>2.4087539710783048</c:v>
                      </c:pt>
                      <c:pt idx="3">
                        <c:v>2.5988468550675954</c:v>
                      </c:pt>
                      <c:pt idx="4">
                        <c:v>2.4975377660733624</c:v>
                      </c:pt>
                      <c:pt idx="6">
                        <c:v>2.4940490859525726</c:v>
                      </c:pt>
                      <c:pt idx="12">
                        <c:v>2.077389993099553</c:v>
                      </c:pt>
                      <c:pt idx="19">
                        <c:v>3.887685418105959</c:v>
                      </c:pt>
                      <c:pt idx="20">
                        <c:v>3.0668865507265997</c:v>
                      </c:pt>
                      <c:pt idx="21">
                        <c:v>4.0491103337392174</c:v>
                      </c:pt>
                    </c:numCache>
                  </c:numRef>
                </c:yVal>
                <c:smooth val="0"/>
                <c:extLst xmlns:c15="http://schemas.microsoft.com/office/drawing/2012/chart">
                  <c:ext xmlns:c16="http://schemas.microsoft.com/office/drawing/2014/chart" uri="{C3380CC4-5D6E-409C-BE32-E72D297353CC}">
                    <c16:uniqueId val="{0000000D-D16A-4C5B-9253-BCF7355F6B88}"/>
                  </c:ext>
                </c:extLst>
              </c15:ser>
            </c15:filteredScatterSeries>
            <c15:filteredScatterSeries>
              <c15:ser>
                <c:idx val="3"/>
                <c:order val="14"/>
                <c:tx>
                  <c:v>In Line, Shell</c:v>
                </c:tx>
                <c:spPr>
                  <a:ln w="25400" cap="rnd">
                    <a:noFill/>
                    <a:round/>
                  </a:ln>
                  <a:effectLst/>
                </c:spPr>
                <c:marker>
                  <c:symbol val="circle"/>
                  <c:size val="7"/>
                  <c:spPr>
                    <a:noFill/>
                    <a:ln w="15875">
                      <a:solidFill>
                        <a:schemeClr val="accent2"/>
                      </a:solidFill>
                    </a:ln>
                    <a:effectLst/>
                  </c:spPr>
                </c:marker>
                <c:xVal>
                  <c:numRef>
                    <c:extLst xmlns:c15="http://schemas.microsoft.com/office/drawing/2012/chart">
                      <c:ext xmlns:c15="http://schemas.microsoft.com/office/drawing/2012/chart" uri="{02D57815-91ED-43cb-92C2-25804820EDAC}">
                        <c15:formulaRef>
                          <c15:sqref>m!$DU$86:$DX$86</c15:sqref>
                        </c15:formulaRef>
                      </c:ext>
                    </c:extLst>
                    <c:numCache>
                      <c:formatCode>General</c:formatCode>
                      <c:ptCount val="4"/>
                      <c:pt idx="1">
                        <c:v>3.8469075681895233</c:v>
                      </c:pt>
                    </c:numCache>
                  </c:numRef>
                </c:xVal>
                <c:yVal>
                  <c:numRef>
                    <c:extLst xmlns:c15="http://schemas.microsoft.com/office/drawing/2012/chart">
                      <c:ext xmlns:c15="http://schemas.microsoft.com/office/drawing/2012/chart" uri="{02D57815-91ED-43cb-92C2-25804820EDAC}">
                        <c15:formulaRef>
                          <c15:sqref>m!$DU$91:$DX$91</c15:sqref>
                        </c15:formulaRef>
                      </c:ext>
                    </c:extLst>
                    <c:numCache>
                      <c:formatCode>General</c:formatCode>
                      <c:ptCount val="4"/>
                      <c:pt idx="1">
                        <c:v>5.9805420003862961</c:v>
                      </c:pt>
                    </c:numCache>
                  </c:numRef>
                </c:yVal>
                <c:smooth val="0"/>
                <c:extLst xmlns:c15="http://schemas.microsoft.com/office/drawing/2012/chart">
                  <c:ext xmlns:c16="http://schemas.microsoft.com/office/drawing/2014/chart" uri="{C3380CC4-5D6E-409C-BE32-E72D297353CC}">
                    <c16:uniqueId val="{0000000E-D16A-4C5B-9253-BCF7355F6B88}"/>
                  </c:ext>
                </c:extLst>
              </c15:ser>
            </c15:filteredScatterSeries>
          </c:ext>
        </c:extLst>
      </c:scatterChart>
      <c:valAx>
        <c:axId val="624399680"/>
        <c:scaling>
          <c:logBase val="10"/>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Relative Error due to Geometric Nonlinearity in Dynamic Response, ψ</a:t>
                </a:r>
                <a:r>
                  <a:rPr lang="en-US" sz="1400" b="0" i="0" u="none" strike="noStrike" baseline="-25000">
                    <a:effectLst/>
                  </a:rPr>
                  <a:t>nl</a:t>
                </a:r>
                <a:r>
                  <a:rPr lang="en-US" sz="1400" b="0" i="0" u="none" strike="noStrike" baseline="0">
                    <a:effectLst/>
                  </a:rPr>
                  <a:t> </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baseline="0">
                    <a:effectLst/>
                  </a:rPr>
                  <a:t>Normalized Fatigue-Equivalent Strain Amplitude,   ϵ̃</a:t>
                </a:r>
                <a:r>
                  <a:rPr lang="en-US" sz="1400" b="0" i="0" baseline="-25000">
                    <a:effectLst/>
                  </a:rPr>
                  <a:t>e</a:t>
                </a:r>
                <a:r>
                  <a:rPr lang="en-US" sz="1400" b="0" i="0" baseline="0">
                    <a:effectLst/>
                  </a:rPr>
                  <a:t> = ϵ</a:t>
                </a:r>
                <a:r>
                  <a:rPr lang="en-US" sz="1400" b="0" i="0" baseline="-25000">
                    <a:effectLst/>
                  </a:rPr>
                  <a:t>e</a:t>
                </a:r>
                <a:r>
                  <a:rPr lang="en-US" sz="1400" b="0" i="0" baseline="0">
                    <a:effectLst/>
                  </a:rPr>
                  <a:t>/(R</a:t>
                </a:r>
                <a:r>
                  <a:rPr lang="en-US" sz="1400" b="0" i="0" baseline="-25000">
                    <a:effectLst/>
                  </a:rPr>
                  <a:t>ϵ</a:t>
                </a:r>
                <a:r>
                  <a:rPr lang="en-US" sz="1400" b="0" i="0" baseline="0">
                    <a:effectLst/>
                  </a:rPr>
                  <a:t>D/L</a:t>
                </a:r>
                <a:r>
                  <a:rPr lang="en-US" sz="1400" b="0" i="0" baseline="-25000">
                    <a:effectLst/>
                  </a:rPr>
                  <a:t>st</a:t>
                </a:r>
                <a:r>
                  <a:rPr lang="en-US" sz="1400" b="0" i="0" baseline="30000">
                    <a:effectLst/>
                  </a:rPr>
                  <a:t>2</a:t>
                </a:r>
                <a:r>
                  <a:rPr lang="en-US" sz="1400" b="0" i="0" baseline="0">
                    <a:effectLst/>
                  </a:rPr>
                  <a:t>)</a:t>
                </a:r>
                <a:endParaRPr lang="en-US" sz="1400">
                  <a:effectLst/>
                </a:endParaRPr>
              </a:p>
            </c:rich>
          </c:tx>
          <c:layout>
            <c:manualLayout>
              <c:xMode val="edge"/>
              <c:yMode val="edge"/>
              <c:x val="1.2786980528916013E-2"/>
              <c:y val="5.1139526362623478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At val="1.0000000000000003E-4"/>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m!$AF$111:$AO$111</c:f>
              <c:numCache>
                <c:formatCode>General</c:formatCode>
                <c:ptCount val="10"/>
                <c:pt idx="6">
                  <c:v>8.0109809870032578E-3</c:v>
                </c:pt>
                <c:pt idx="7">
                  <c:v>8.2596796060305788E-3</c:v>
                </c:pt>
                <c:pt idx="8">
                  <c:v>8.4847680784227997E-3</c:v>
                </c:pt>
                <c:pt idx="9">
                  <c:v>8.6964338518256135E-3</c:v>
                </c:pt>
              </c:numCache>
            </c:numRef>
          </c:xVal>
          <c:yVal>
            <c:numRef>
              <c:f>m!$AF$95:$AO$95</c:f>
              <c:numCache>
                <c:formatCode>General</c:formatCode>
                <c:ptCount val="10"/>
                <c:pt idx="6">
                  <c:v>6.0414806166082506</c:v>
                </c:pt>
                <c:pt idx="7">
                  <c:v>6.1292359928204512</c:v>
                </c:pt>
                <c:pt idx="8">
                  <c:v>5.2848958185987494</c:v>
                </c:pt>
                <c:pt idx="9">
                  <c:v>4.2979154085934459</c:v>
                </c:pt>
              </c:numCache>
            </c:numRef>
          </c:yVal>
          <c:smooth val="0"/>
          <c:extLst>
            <c:ext xmlns:c16="http://schemas.microsoft.com/office/drawing/2014/chart" uri="{C3380CC4-5D6E-409C-BE32-E72D297353CC}">
              <c16:uniqueId val="{00000000-B269-4FAC-8732-BB66AF02E94D}"/>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m!$AP$111:$BL$111</c:f>
              <c:numCache>
                <c:formatCode>General</c:formatCode>
                <c:ptCount val="23"/>
                <c:pt idx="0">
                  <c:v>7.9291604351576783E-3</c:v>
                </c:pt>
                <c:pt idx="1">
                  <c:v>2.9325115807332658E-3</c:v>
                </c:pt>
                <c:pt idx="2">
                  <c:v>6.7933022334099036E-6</c:v>
                </c:pt>
                <c:pt idx="3">
                  <c:v>2.3174929970171121E-5</c:v>
                </c:pt>
                <c:pt idx="4">
                  <c:v>1.4502417611250706E-6</c:v>
                </c:pt>
                <c:pt idx="6">
                  <c:v>5.134640951798275E-5</c:v>
                </c:pt>
                <c:pt idx="12">
                  <c:v>1.9049263035419983E-5</c:v>
                </c:pt>
                <c:pt idx="19">
                  <c:v>1.1150950006033611E-4</c:v>
                </c:pt>
                <c:pt idx="20">
                  <c:v>3.9506899689456532E-6</c:v>
                </c:pt>
                <c:pt idx="21">
                  <c:v>2.1503504823150443E-4</c:v>
                </c:pt>
              </c:numCache>
            </c:numRef>
          </c:xVal>
          <c:yVal>
            <c:numRef>
              <c:f>m!$AP$95:$BL$95</c:f>
              <c:numCache>
                <c:formatCode>General</c:formatCode>
                <c:ptCount val="23"/>
                <c:pt idx="0">
                  <c:v>5.0532147082786567</c:v>
                </c:pt>
                <c:pt idx="1">
                  <c:v>3.6133175421953494</c:v>
                </c:pt>
                <c:pt idx="2">
                  <c:v>4.4434942874585293</c:v>
                </c:pt>
                <c:pt idx="3">
                  <c:v>4.9154385147601225</c:v>
                </c:pt>
                <c:pt idx="4">
                  <c:v>5.3963977447979259</c:v>
                </c:pt>
                <c:pt idx="6">
                  <c:v>3.52255142553093</c:v>
                </c:pt>
                <c:pt idx="12">
                  <c:v>4.1401928182528742</c:v>
                </c:pt>
                <c:pt idx="19">
                  <c:v>4.490854651714832</c:v>
                </c:pt>
                <c:pt idx="20">
                  <c:v>4.8959517967458943</c:v>
                </c:pt>
                <c:pt idx="21">
                  <c:v>3.8939295934451761</c:v>
                </c:pt>
              </c:numCache>
            </c:numRef>
          </c:yVal>
          <c:smooth val="0"/>
          <c:extLst>
            <c:ext xmlns:c16="http://schemas.microsoft.com/office/drawing/2014/chart" uri="{C3380CC4-5D6E-409C-BE32-E72D297353CC}">
              <c16:uniqueId val="{00000001-B269-4FAC-8732-BB66AF02E94D}"/>
            </c:ext>
          </c:extLst>
        </c:ser>
        <c:ser>
          <c:idx val="11"/>
          <c:order val="2"/>
          <c:tx>
            <c:v>CF, Pipe 1</c:v>
          </c:tx>
          <c:spPr>
            <a:ln w="25400" cap="rnd">
              <a:noFill/>
              <a:round/>
            </a:ln>
            <a:effectLst/>
          </c:spPr>
          <c:marker>
            <c:symbol val="x"/>
            <c:size val="7"/>
            <c:spPr>
              <a:noFill/>
              <a:ln w="15875">
                <a:solidFill>
                  <a:schemeClr val="accent6"/>
                </a:solidFill>
              </a:ln>
              <a:effectLst/>
            </c:spPr>
          </c:marker>
          <c:xVal>
            <c:numRef>
              <c:f>m!$BM$111:$CO$111</c:f>
              <c:numCache>
                <c:formatCode>General</c:formatCode>
                <c:ptCount val="29"/>
                <c:pt idx="0">
                  <c:v>2.1890254251477614E-6</c:v>
                </c:pt>
                <c:pt idx="1">
                  <c:v>1.0788327722277558E-6</c:v>
                </c:pt>
                <c:pt idx="3">
                  <c:v>5.5684617672469017E-7</c:v>
                </c:pt>
                <c:pt idx="4">
                  <c:v>5.1886209084806012E-7</c:v>
                </c:pt>
                <c:pt idx="5">
                  <c:v>3.0432556274995193E-7</c:v>
                </c:pt>
                <c:pt idx="6">
                  <c:v>5.0743346169390691E-7</c:v>
                </c:pt>
                <c:pt idx="7">
                  <c:v>5.4012386985213823E-7</c:v>
                </c:pt>
                <c:pt idx="8">
                  <c:v>7.0988168654473327E-7</c:v>
                </c:pt>
                <c:pt idx="9">
                  <c:v>5.6151274452354016E-7</c:v>
                </c:pt>
                <c:pt idx="10">
                  <c:v>4.0649880772569702E-7</c:v>
                </c:pt>
                <c:pt idx="11">
                  <c:v>4.7009639358996935E-7</c:v>
                </c:pt>
                <c:pt idx="12">
                  <c:v>5.4552476380642645E-7</c:v>
                </c:pt>
                <c:pt idx="13">
                  <c:v>3.0394842065462058E-7</c:v>
                </c:pt>
                <c:pt idx="14">
                  <c:v>7.9852881751385496E-7</c:v>
                </c:pt>
                <c:pt idx="15">
                  <c:v>6.3621909096589491E-7</c:v>
                </c:pt>
                <c:pt idx="16">
                  <c:v>5.1720425431334149E-7</c:v>
                </c:pt>
                <c:pt idx="17">
                  <c:v>4.2943015543528418E-7</c:v>
                </c:pt>
                <c:pt idx="18">
                  <c:v>3.4644387714166669E-7</c:v>
                </c:pt>
                <c:pt idx="19">
                  <c:v>3.628575313552318E-7</c:v>
                </c:pt>
              </c:numCache>
            </c:numRef>
          </c:xVal>
          <c:yVal>
            <c:numRef>
              <c:f>m!$BM$95:$CO$95</c:f>
              <c:numCache>
                <c:formatCode>General</c:formatCode>
                <c:ptCount val="29"/>
                <c:pt idx="0">
                  <c:v>10.120470713192889</c:v>
                </c:pt>
                <c:pt idx="1">
                  <c:v>8.9453772336192614</c:v>
                </c:pt>
                <c:pt idx="3">
                  <c:v>10.611578666711525</c:v>
                </c:pt>
                <c:pt idx="4">
                  <c:v>13.484969152564005</c:v>
                </c:pt>
                <c:pt idx="5">
                  <c:v>9.6684949677469909</c:v>
                </c:pt>
                <c:pt idx="6">
                  <c:v>10.056504925363537</c:v>
                </c:pt>
                <c:pt idx="7">
                  <c:v>11.387889643620143</c:v>
                </c:pt>
                <c:pt idx="8">
                  <c:v>9.5704123434084227</c:v>
                </c:pt>
                <c:pt idx="9">
                  <c:v>9.3655475104383363</c:v>
                </c:pt>
                <c:pt idx="10">
                  <c:v>7.9975610372982713</c:v>
                </c:pt>
                <c:pt idx="11">
                  <c:v>8.2532209331067783</c:v>
                </c:pt>
                <c:pt idx="12">
                  <c:v>7.954322186490991</c:v>
                </c:pt>
                <c:pt idx="13">
                  <c:v>10.007795801208351</c:v>
                </c:pt>
                <c:pt idx="14">
                  <c:v>9.8621963860643529</c:v>
                </c:pt>
                <c:pt idx="15">
                  <c:v>9.4519747608689038</c:v>
                </c:pt>
                <c:pt idx="16">
                  <c:v>7.5048349972577322</c:v>
                </c:pt>
                <c:pt idx="17">
                  <c:v>7.5765537722697776</c:v>
                </c:pt>
                <c:pt idx="18">
                  <c:v>6.4600890770907728</c:v>
                </c:pt>
                <c:pt idx="19">
                  <c:v>6.3590149916729768</c:v>
                </c:pt>
              </c:numCache>
            </c:numRef>
          </c:yVal>
          <c:smooth val="0"/>
          <c:extLst>
            <c:ext xmlns:c16="http://schemas.microsoft.com/office/drawing/2014/chart" uri="{C3380CC4-5D6E-409C-BE32-E72D297353CC}">
              <c16:uniqueId val="{00000002-B269-4FAC-8732-BB66AF02E94D}"/>
            </c:ext>
          </c:extLst>
        </c:ser>
        <c:ser>
          <c:idx val="13"/>
          <c:order val="3"/>
          <c:tx>
            <c:v>CF, Pipe 2</c:v>
          </c:tx>
          <c:spPr>
            <a:ln w="25400" cap="rnd">
              <a:noFill/>
              <a:round/>
            </a:ln>
            <a:effectLst/>
          </c:spPr>
          <c:marker>
            <c:symbol val="x"/>
            <c:size val="7"/>
            <c:spPr>
              <a:noFill/>
              <a:ln w="15875">
                <a:solidFill>
                  <a:srgbClr val="00B0F0"/>
                </a:solidFill>
              </a:ln>
              <a:effectLst/>
            </c:spPr>
          </c:marker>
          <c:xVal>
            <c:numRef>
              <c:f>m!$CP$111:$DT$111</c:f>
              <c:numCache>
                <c:formatCode>General</c:formatCode>
                <c:ptCount val="31"/>
                <c:pt idx="0">
                  <c:v>1.5132034772391556E-4</c:v>
                </c:pt>
                <c:pt idx="1">
                  <c:v>5.2617172734636952E-5</c:v>
                </c:pt>
                <c:pt idx="2">
                  <c:v>2.0825709708738316E-5</c:v>
                </c:pt>
                <c:pt idx="3">
                  <c:v>3.2805366327215424E-5</c:v>
                </c:pt>
                <c:pt idx="4">
                  <c:v>4.0392266435151924E-5</c:v>
                </c:pt>
                <c:pt idx="5">
                  <c:v>1.7798469366558933E-5</c:v>
                </c:pt>
                <c:pt idx="6">
                  <c:v>2.1151565047894394E-5</c:v>
                </c:pt>
                <c:pt idx="7">
                  <c:v>2.6343214963420181E-5</c:v>
                </c:pt>
                <c:pt idx="8">
                  <c:v>1.3446006146278222E-5</c:v>
                </c:pt>
                <c:pt idx="9">
                  <c:v>1.4156995189917865E-5</c:v>
                </c:pt>
                <c:pt idx="10">
                  <c:v>1.5841507469360749E-5</c:v>
                </c:pt>
                <c:pt idx="11">
                  <c:v>1.6843207561123563E-5</c:v>
                </c:pt>
                <c:pt idx="12">
                  <c:v>1.8392730243066424E-5</c:v>
                </c:pt>
                <c:pt idx="14">
                  <c:v>7.9894314988226967E-6</c:v>
                </c:pt>
                <c:pt idx="15">
                  <c:v>1.7937330517048267E-4</c:v>
                </c:pt>
                <c:pt idx="18">
                  <c:v>1.5905313604624993E-5</c:v>
                </c:pt>
                <c:pt idx="19">
                  <c:v>8.8774376574285441E-6</c:v>
                </c:pt>
                <c:pt idx="20">
                  <c:v>9.248524226235233E-6</c:v>
                </c:pt>
                <c:pt idx="21">
                  <c:v>9.5481961415178063E-6</c:v>
                </c:pt>
                <c:pt idx="22">
                  <c:v>9.8210249435126684E-6</c:v>
                </c:pt>
                <c:pt idx="23">
                  <c:v>8.7650101266745217E-4</c:v>
                </c:pt>
                <c:pt idx="24">
                  <c:v>1.0304828815588252E-4</c:v>
                </c:pt>
                <c:pt idx="25">
                  <c:v>9.5492010863407195E-4</c:v>
                </c:pt>
                <c:pt idx="26">
                  <c:v>1.3916137705183296E-4</c:v>
                </c:pt>
                <c:pt idx="27">
                  <c:v>1.1162901808559056E-4</c:v>
                </c:pt>
                <c:pt idx="28">
                  <c:v>1.6167928459154268E-5</c:v>
                </c:pt>
                <c:pt idx="29">
                  <c:v>1.7148402894351378E-5</c:v>
                </c:pt>
              </c:numCache>
            </c:numRef>
          </c:xVal>
          <c:yVal>
            <c:numRef>
              <c:f>m!$CP$95:$DT$95</c:f>
              <c:numCache>
                <c:formatCode>General</c:formatCode>
                <c:ptCount val="31"/>
                <c:pt idx="0">
                  <c:v>7.230064864592558</c:v>
                </c:pt>
                <c:pt idx="1">
                  <c:v>7.8432795970043863</c:v>
                </c:pt>
                <c:pt idx="2">
                  <c:v>7.1611992718238096</c:v>
                </c:pt>
                <c:pt idx="3">
                  <c:v>8.5921413030732001</c:v>
                </c:pt>
                <c:pt idx="4">
                  <c:v>6.661272134560023</c:v>
                </c:pt>
                <c:pt idx="5">
                  <c:v>7.7435399296450607</c:v>
                </c:pt>
                <c:pt idx="6">
                  <c:v>6.1997981508460969</c:v>
                </c:pt>
                <c:pt idx="7">
                  <c:v>7.7408089896434431</c:v>
                </c:pt>
                <c:pt idx="8">
                  <c:v>8.6625983848095451</c:v>
                </c:pt>
                <c:pt idx="9">
                  <c:v>6.621771797238047</c:v>
                </c:pt>
                <c:pt idx="10">
                  <c:v>6.9659330774762003</c:v>
                </c:pt>
                <c:pt idx="11">
                  <c:v>7.1453382407870949</c:v>
                </c:pt>
                <c:pt idx="12">
                  <c:v>8.4516911292205865</c:v>
                </c:pt>
                <c:pt idx="14">
                  <c:v>6.0778760902500926</c:v>
                </c:pt>
                <c:pt idx="15">
                  <c:v>8.6619524722903734</c:v>
                </c:pt>
                <c:pt idx="18">
                  <c:v>7.3483443733593532</c:v>
                </c:pt>
                <c:pt idx="19">
                  <c:v>8.0072612621981989</c:v>
                </c:pt>
                <c:pt idx="20">
                  <c:v>7.0758839302446521</c:v>
                </c:pt>
                <c:pt idx="21">
                  <c:v>6.8389367669751673</c:v>
                </c:pt>
                <c:pt idx="22">
                  <c:v>6.2031731981670291</c:v>
                </c:pt>
                <c:pt idx="23">
                  <c:v>9.608322876774281</c:v>
                </c:pt>
                <c:pt idx="24">
                  <c:v>8.2080991638713332</c:v>
                </c:pt>
                <c:pt idx="25">
                  <c:v>10.795030638909601</c:v>
                </c:pt>
                <c:pt idx="26">
                  <c:v>9.9406684789797772</c:v>
                </c:pt>
                <c:pt idx="27">
                  <c:v>7.6699085645929568</c:v>
                </c:pt>
                <c:pt idx="28">
                  <c:v>6.1233547438995259</c:v>
                </c:pt>
                <c:pt idx="29">
                  <c:v>6.1359189433264092</c:v>
                </c:pt>
              </c:numCache>
            </c:numRef>
          </c:yVal>
          <c:smooth val="0"/>
          <c:extLst>
            <c:ext xmlns:c16="http://schemas.microsoft.com/office/drawing/2014/chart" uri="{C3380CC4-5D6E-409C-BE32-E72D297353CC}">
              <c16:uniqueId val="{00000003-B269-4FAC-8732-BB66AF02E94D}"/>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m!$DU$111:$DX$111</c:f>
              <c:numCache>
                <c:formatCode>General</c:formatCode>
                <c:ptCount val="4"/>
                <c:pt idx="1">
                  <c:v>1.4827043586835842E-3</c:v>
                </c:pt>
              </c:numCache>
            </c:numRef>
          </c:xVal>
          <c:yVal>
            <c:numRef>
              <c:f>m!$DU$95:$DX$95</c:f>
              <c:numCache>
                <c:formatCode>General</c:formatCode>
                <c:ptCount val="4"/>
                <c:pt idx="1">
                  <c:v>11.627400337732656</c:v>
                </c:pt>
              </c:numCache>
            </c:numRef>
          </c:yVal>
          <c:smooth val="0"/>
          <c:extLst>
            <c:ext xmlns:c16="http://schemas.microsoft.com/office/drawing/2014/chart" uri="{C3380CC4-5D6E-409C-BE32-E72D297353CC}">
              <c16:uniqueId val="{00000004-B269-4FAC-8732-BB66AF02E94D}"/>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m!$DY$111:$EL$111</c:f>
              <c:numCache>
                <c:formatCode>General</c:formatCode>
                <c:ptCount val="14"/>
                <c:pt idx="0">
                  <c:v>1.8615464102569979E-2</c:v>
                </c:pt>
                <c:pt idx="1">
                  <c:v>8.3830289876107855E-4</c:v>
                </c:pt>
                <c:pt idx="2">
                  <c:v>1.4388262270559338E-4</c:v>
                </c:pt>
                <c:pt idx="3">
                  <c:v>2.5093699608458309E-4</c:v>
                </c:pt>
                <c:pt idx="4">
                  <c:v>3.0289283997819716E-4</c:v>
                </c:pt>
                <c:pt idx="5">
                  <c:v>9.7535659270064912E-5</c:v>
                </c:pt>
                <c:pt idx="6">
                  <c:v>1.2496213672297252E-4</c:v>
                </c:pt>
                <c:pt idx="7">
                  <c:v>1.2864377587118447E-4</c:v>
                </c:pt>
                <c:pt idx="8">
                  <c:v>2.8898309381442111E-4</c:v>
                </c:pt>
                <c:pt idx="10">
                  <c:v>1.1263591524057759E-4</c:v>
                </c:pt>
                <c:pt idx="11">
                  <c:v>1.168952044932059E-4</c:v>
                </c:pt>
                <c:pt idx="13">
                  <c:v>1.0162205230224153E-4</c:v>
                </c:pt>
              </c:numCache>
            </c:numRef>
          </c:xVal>
          <c:yVal>
            <c:numRef>
              <c:f>m!$DY$95:$EL$95</c:f>
              <c:numCache>
                <c:formatCode>General</c:formatCode>
                <c:ptCount val="14"/>
                <c:pt idx="0">
                  <c:v>11.841933921401584</c:v>
                </c:pt>
                <c:pt idx="1">
                  <c:v>10.112716420782542</c:v>
                </c:pt>
                <c:pt idx="2">
                  <c:v>10.75326981223963</c:v>
                </c:pt>
                <c:pt idx="3">
                  <c:v>12.593437950738654</c:v>
                </c:pt>
                <c:pt idx="4">
                  <c:v>9.9708079988168254</c:v>
                </c:pt>
                <c:pt idx="5">
                  <c:v>12.57159489291657</c:v>
                </c:pt>
                <c:pt idx="6">
                  <c:v>11.025393435074347</c:v>
                </c:pt>
                <c:pt idx="7">
                  <c:v>8.8729996804417208</c:v>
                </c:pt>
                <c:pt idx="8">
                  <c:v>12.254596368878824</c:v>
                </c:pt>
                <c:pt idx="10">
                  <c:v>9.2304269063872528</c:v>
                </c:pt>
                <c:pt idx="11">
                  <c:v>10.128045629794443</c:v>
                </c:pt>
                <c:pt idx="13">
                  <c:v>8.7481293899266319</c:v>
                </c:pt>
              </c:numCache>
            </c:numRef>
          </c:yVal>
          <c:smooth val="0"/>
          <c:extLst>
            <c:ext xmlns:c16="http://schemas.microsoft.com/office/drawing/2014/chart" uri="{C3380CC4-5D6E-409C-BE32-E72D297353CC}">
              <c16:uniqueId val="{00000005-B269-4FAC-8732-BB66AF02E94D}"/>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m!$AF$111:$AO$111</c:f>
              <c:numCache>
                <c:formatCode>General</c:formatCode>
                <c:ptCount val="10"/>
                <c:pt idx="6">
                  <c:v>8.0109809870032578E-3</c:v>
                </c:pt>
                <c:pt idx="7">
                  <c:v>8.2596796060305788E-3</c:v>
                </c:pt>
                <c:pt idx="8">
                  <c:v>8.4847680784227997E-3</c:v>
                </c:pt>
                <c:pt idx="9">
                  <c:v>8.6964338518256135E-3</c:v>
                </c:pt>
              </c:numCache>
            </c:numRef>
          </c:xVal>
          <c:yVal>
            <c:numRef>
              <c:f>m!$AF$96:$AO$96</c:f>
              <c:numCache>
                <c:formatCode>General</c:formatCode>
                <c:ptCount val="10"/>
                <c:pt idx="6">
                  <c:v>4.6527598235675249</c:v>
                </c:pt>
                <c:pt idx="7">
                  <c:v>4.2805274655235781</c:v>
                </c:pt>
                <c:pt idx="8">
                  <c:v>3.4393569277814708</c:v>
                </c:pt>
                <c:pt idx="9">
                  <c:v>3.6129037340831314</c:v>
                </c:pt>
              </c:numCache>
            </c:numRef>
          </c:yVal>
          <c:smooth val="0"/>
          <c:extLst>
            <c:ext xmlns:c16="http://schemas.microsoft.com/office/drawing/2014/chart" uri="{C3380CC4-5D6E-409C-BE32-E72D297353CC}">
              <c16:uniqueId val="{00000006-B269-4FAC-8732-BB66AF02E94D}"/>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m!$AP$111:$BL$111</c:f>
              <c:numCache>
                <c:formatCode>General</c:formatCode>
                <c:ptCount val="23"/>
                <c:pt idx="0">
                  <c:v>7.9291604351576783E-3</c:v>
                </c:pt>
                <c:pt idx="1">
                  <c:v>2.9325115807332658E-3</c:v>
                </c:pt>
                <c:pt idx="2">
                  <c:v>6.7933022334099036E-6</c:v>
                </c:pt>
                <c:pt idx="3">
                  <c:v>2.3174929970171121E-5</c:v>
                </c:pt>
                <c:pt idx="4">
                  <c:v>1.4502417611250706E-6</c:v>
                </c:pt>
                <c:pt idx="6">
                  <c:v>5.134640951798275E-5</c:v>
                </c:pt>
                <c:pt idx="12">
                  <c:v>1.9049263035419983E-5</c:v>
                </c:pt>
                <c:pt idx="19">
                  <c:v>1.1150950006033611E-4</c:v>
                </c:pt>
                <c:pt idx="20">
                  <c:v>3.9506899689456532E-6</c:v>
                </c:pt>
                <c:pt idx="21">
                  <c:v>2.1503504823150443E-4</c:v>
                </c:pt>
              </c:numCache>
            </c:numRef>
          </c:xVal>
          <c:yVal>
            <c:numRef>
              <c:f>m!$AP$96:$BL$96</c:f>
              <c:numCache>
                <c:formatCode>General</c:formatCode>
                <c:ptCount val="23"/>
                <c:pt idx="0">
                  <c:v>5.4755784611121161</c:v>
                </c:pt>
                <c:pt idx="1">
                  <c:v>5.1682826595532747</c:v>
                </c:pt>
                <c:pt idx="2">
                  <c:v>3.0985995787371445</c:v>
                </c:pt>
                <c:pt idx="3">
                  <c:v>3.134879815279314</c:v>
                </c:pt>
                <c:pt idx="4">
                  <c:v>3.0033011206407316</c:v>
                </c:pt>
                <c:pt idx="6">
                  <c:v>2.9529997740314693</c:v>
                </c:pt>
                <c:pt idx="12">
                  <c:v>2.536745078640724</c:v>
                </c:pt>
                <c:pt idx="19">
                  <c:v>5.2461545091174413</c:v>
                </c:pt>
                <c:pt idx="20">
                  <c:v>3.8667689214808134</c:v>
                </c:pt>
                <c:pt idx="21">
                  <c:v>5.2126574434788768</c:v>
                </c:pt>
              </c:numCache>
            </c:numRef>
          </c:yVal>
          <c:smooth val="0"/>
          <c:extLst>
            <c:ext xmlns:c16="http://schemas.microsoft.com/office/drawing/2014/chart" uri="{C3380CC4-5D6E-409C-BE32-E72D297353CC}">
              <c16:uniqueId val="{00000007-B269-4FAC-8732-BB66AF02E94D}"/>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m!$BM$111:$CO$111</c:f>
              <c:numCache>
                <c:formatCode>General</c:formatCode>
                <c:ptCount val="29"/>
                <c:pt idx="0">
                  <c:v>2.1890254251477614E-6</c:v>
                </c:pt>
                <c:pt idx="1">
                  <c:v>1.0788327722277558E-6</c:v>
                </c:pt>
                <c:pt idx="3">
                  <c:v>5.5684617672469017E-7</c:v>
                </c:pt>
                <c:pt idx="4">
                  <c:v>5.1886209084806012E-7</c:v>
                </c:pt>
                <c:pt idx="5">
                  <c:v>3.0432556274995193E-7</c:v>
                </c:pt>
                <c:pt idx="6">
                  <c:v>5.0743346169390691E-7</c:v>
                </c:pt>
                <c:pt idx="7">
                  <c:v>5.4012386985213823E-7</c:v>
                </c:pt>
                <c:pt idx="8">
                  <c:v>7.0988168654473327E-7</c:v>
                </c:pt>
                <c:pt idx="9">
                  <c:v>5.6151274452354016E-7</c:v>
                </c:pt>
                <c:pt idx="10">
                  <c:v>4.0649880772569702E-7</c:v>
                </c:pt>
                <c:pt idx="11">
                  <c:v>4.7009639358996935E-7</c:v>
                </c:pt>
                <c:pt idx="12">
                  <c:v>5.4552476380642645E-7</c:v>
                </c:pt>
                <c:pt idx="13">
                  <c:v>3.0394842065462058E-7</c:v>
                </c:pt>
                <c:pt idx="14">
                  <c:v>7.9852881751385496E-7</c:v>
                </c:pt>
                <c:pt idx="15">
                  <c:v>6.3621909096589491E-7</c:v>
                </c:pt>
                <c:pt idx="16">
                  <c:v>5.1720425431334149E-7</c:v>
                </c:pt>
                <c:pt idx="17">
                  <c:v>4.2943015543528418E-7</c:v>
                </c:pt>
                <c:pt idx="18">
                  <c:v>3.4644387714166669E-7</c:v>
                </c:pt>
                <c:pt idx="19">
                  <c:v>3.628575313552318E-7</c:v>
                </c:pt>
              </c:numCache>
            </c:numRef>
          </c:xVal>
          <c:yVal>
            <c:numRef>
              <c:f>m!$BM$96:$CO$96</c:f>
              <c:numCache>
                <c:formatCode>General</c:formatCode>
                <c:ptCount val="29"/>
                <c:pt idx="0">
                  <c:v>7.7033235890944756</c:v>
                </c:pt>
                <c:pt idx="1">
                  <c:v>9.1444916587946974</c:v>
                </c:pt>
                <c:pt idx="3">
                  <c:v>8.7140648971788437</c:v>
                </c:pt>
                <c:pt idx="4">
                  <c:v>12.927157671770168</c:v>
                </c:pt>
                <c:pt idx="5">
                  <c:v>8.3600761384121469</c:v>
                </c:pt>
                <c:pt idx="6">
                  <c:v>8.9999781210833945</c:v>
                </c:pt>
                <c:pt idx="7">
                  <c:v>11.710147435168425</c:v>
                </c:pt>
                <c:pt idx="8">
                  <c:v>9.6604016799591612</c:v>
                </c:pt>
                <c:pt idx="9">
                  <c:v>8.9844518836473455</c:v>
                </c:pt>
                <c:pt idx="10">
                  <c:v>8.1478940601600911</c:v>
                </c:pt>
                <c:pt idx="11">
                  <c:v>7.9194530647955013</c:v>
                </c:pt>
                <c:pt idx="12">
                  <c:v>8.4688373486197897</c:v>
                </c:pt>
                <c:pt idx="13">
                  <c:v>8.1654266073084845</c:v>
                </c:pt>
                <c:pt idx="14">
                  <c:v>10.157317419596724</c:v>
                </c:pt>
                <c:pt idx="15">
                  <c:v>8.4459765120883326</c:v>
                </c:pt>
                <c:pt idx="16">
                  <c:v>8.8566927659923493</c:v>
                </c:pt>
                <c:pt idx="17">
                  <c:v>7.9864493524762779</c:v>
                </c:pt>
                <c:pt idx="18">
                  <c:v>7.5929751024784267</c:v>
                </c:pt>
                <c:pt idx="19">
                  <c:v>7.0417931291632536</c:v>
                </c:pt>
              </c:numCache>
            </c:numRef>
          </c:yVal>
          <c:smooth val="0"/>
          <c:extLst>
            <c:ext xmlns:c16="http://schemas.microsoft.com/office/drawing/2014/chart" uri="{C3380CC4-5D6E-409C-BE32-E72D297353CC}">
              <c16:uniqueId val="{00000008-B269-4FAC-8732-BB66AF02E94D}"/>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m!$CP$111:$DT$111</c:f>
              <c:numCache>
                <c:formatCode>General</c:formatCode>
                <c:ptCount val="31"/>
                <c:pt idx="0">
                  <c:v>1.5132034772391556E-4</c:v>
                </c:pt>
                <c:pt idx="1">
                  <c:v>5.2617172734636952E-5</c:v>
                </c:pt>
                <c:pt idx="2">
                  <c:v>2.0825709708738316E-5</c:v>
                </c:pt>
                <c:pt idx="3">
                  <c:v>3.2805366327215424E-5</c:v>
                </c:pt>
                <c:pt idx="4">
                  <c:v>4.0392266435151924E-5</c:v>
                </c:pt>
                <c:pt idx="5">
                  <c:v>1.7798469366558933E-5</c:v>
                </c:pt>
                <c:pt idx="6">
                  <c:v>2.1151565047894394E-5</c:v>
                </c:pt>
                <c:pt idx="7">
                  <c:v>2.6343214963420181E-5</c:v>
                </c:pt>
                <c:pt idx="8">
                  <c:v>1.3446006146278222E-5</c:v>
                </c:pt>
                <c:pt idx="9">
                  <c:v>1.4156995189917865E-5</c:v>
                </c:pt>
                <c:pt idx="10">
                  <c:v>1.5841507469360749E-5</c:v>
                </c:pt>
                <c:pt idx="11">
                  <c:v>1.6843207561123563E-5</c:v>
                </c:pt>
                <c:pt idx="12">
                  <c:v>1.8392730243066424E-5</c:v>
                </c:pt>
                <c:pt idx="14">
                  <c:v>7.9894314988226967E-6</c:v>
                </c:pt>
                <c:pt idx="15">
                  <c:v>1.7937330517048267E-4</c:v>
                </c:pt>
                <c:pt idx="18">
                  <c:v>1.5905313604624993E-5</c:v>
                </c:pt>
                <c:pt idx="19">
                  <c:v>8.8774376574285441E-6</c:v>
                </c:pt>
                <c:pt idx="20">
                  <c:v>9.248524226235233E-6</c:v>
                </c:pt>
                <c:pt idx="21">
                  <c:v>9.5481961415178063E-6</c:v>
                </c:pt>
                <c:pt idx="22">
                  <c:v>9.8210249435126684E-6</c:v>
                </c:pt>
                <c:pt idx="23">
                  <c:v>8.7650101266745217E-4</c:v>
                </c:pt>
                <c:pt idx="24">
                  <c:v>1.0304828815588252E-4</c:v>
                </c:pt>
                <c:pt idx="25">
                  <c:v>9.5492010863407195E-4</c:v>
                </c:pt>
                <c:pt idx="26">
                  <c:v>1.3916137705183296E-4</c:v>
                </c:pt>
                <c:pt idx="27">
                  <c:v>1.1162901808559056E-4</c:v>
                </c:pt>
                <c:pt idx="28">
                  <c:v>1.6167928459154268E-5</c:v>
                </c:pt>
                <c:pt idx="29">
                  <c:v>1.7148402894351378E-5</c:v>
                </c:pt>
              </c:numCache>
            </c:numRef>
          </c:xVal>
          <c:yVal>
            <c:numRef>
              <c:f>m!$CP$96:$DT$96</c:f>
              <c:numCache>
                <c:formatCode>General</c:formatCode>
                <c:ptCount val="31"/>
                <c:pt idx="0">
                  <c:v>6.6249810457925706</c:v>
                </c:pt>
                <c:pt idx="1">
                  <c:v>5.9447274054537775</c:v>
                </c:pt>
                <c:pt idx="2">
                  <c:v>4.3790295625014277</c:v>
                </c:pt>
                <c:pt idx="3">
                  <c:v>7.0215974595106143</c:v>
                </c:pt>
                <c:pt idx="4">
                  <c:v>5.4768436761823818</c:v>
                </c:pt>
                <c:pt idx="5">
                  <c:v>4.8822056936446092</c:v>
                </c:pt>
                <c:pt idx="6">
                  <c:v>4.4672288224686083</c:v>
                </c:pt>
                <c:pt idx="7">
                  <c:v>6.5369518717044457</c:v>
                </c:pt>
                <c:pt idx="8">
                  <c:v>7.9590472097189648</c:v>
                </c:pt>
                <c:pt idx="9">
                  <c:v>5.4878070883378705</c:v>
                </c:pt>
                <c:pt idx="10">
                  <c:v>6.5026988056572304</c:v>
                </c:pt>
                <c:pt idx="11">
                  <c:v>6.329848379965453</c:v>
                </c:pt>
                <c:pt idx="12">
                  <c:v>6.2013253457317621</c:v>
                </c:pt>
                <c:pt idx="14">
                  <c:v>5.2492619268133645</c:v>
                </c:pt>
                <c:pt idx="15">
                  <c:v>6.3209002515631276</c:v>
                </c:pt>
                <c:pt idx="18">
                  <c:v>6.4868297836002924</c:v>
                </c:pt>
                <c:pt idx="19">
                  <c:v>5.827620282954654</c:v>
                </c:pt>
                <c:pt idx="20">
                  <c:v>7.0663143302767422</c:v>
                </c:pt>
                <c:pt idx="21">
                  <c:v>5.9628619384453367</c:v>
                </c:pt>
                <c:pt idx="22">
                  <c:v>5.5226853762264438</c:v>
                </c:pt>
                <c:pt idx="23">
                  <c:v>9.7019903060697743</c:v>
                </c:pt>
                <c:pt idx="24">
                  <c:v>7.6053639768993335</c:v>
                </c:pt>
                <c:pt idx="25">
                  <c:v>7.5584542426748964</c:v>
                </c:pt>
                <c:pt idx="26">
                  <c:v>6.9427008530083283</c:v>
                </c:pt>
                <c:pt idx="27">
                  <c:v>6.4055240885023839</c:v>
                </c:pt>
                <c:pt idx="28">
                  <c:v>5.9595789339150782</c:v>
                </c:pt>
                <c:pt idx="29">
                  <c:v>5.8625018670641422</c:v>
                </c:pt>
              </c:numCache>
            </c:numRef>
          </c:yVal>
          <c:smooth val="0"/>
          <c:extLst>
            <c:ext xmlns:c16="http://schemas.microsoft.com/office/drawing/2014/chart" uri="{C3380CC4-5D6E-409C-BE32-E72D297353CC}">
              <c16:uniqueId val="{00000009-B269-4FAC-8732-BB66AF02E94D}"/>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m!$DU$111:$DX$111</c:f>
              <c:numCache>
                <c:formatCode>General</c:formatCode>
                <c:ptCount val="4"/>
                <c:pt idx="1">
                  <c:v>1.4827043586835842E-3</c:v>
                </c:pt>
              </c:numCache>
            </c:numRef>
          </c:xVal>
          <c:yVal>
            <c:numRef>
              <c:f>m!$DU$96:$DX$96</c:f>
              <c:numCache>
                <c:formatCode>General</c:formatCode>
                <c:ptCount val="4"/>
                <c:pt idx="1">
                  <c:v>8.5837852954236631</c:v>
                </c:pt>
              </c:numCache>
            </c:numRef>
          </c:yVal>
          <c:smooth val="0"/>
          <c:extLst>
            <c:ext xmlns:c16="http://schemas.microsoft.com/office/drawing/2014/chart" uri="{C3380CC4-5D6E-409C-BE32-E72D297353CC}">
              <c16:uniqueId val="{0000000A-B269-4FAC-8732-BB66AF02E94D}"/>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m!$DY$111:$EL$111</c:f>
              <c:numCache>
                <c:formatCode>General</c:formatCode>
                <c:ptCount val="14"/>
                <c:pt idx="0">
                  <c:v>1.8615464102569979E-2</c:v>
                </c:pt>
                <c:pt idx="1">
                  <c:v>8.3830289876107855E-4</c:v>
                </c:pt>
                <c:pt idx="2">
                  <c:v>1.4388262270559338E-4</c:v>
                </c:pt>
                <c:pt idx="3">
                  <c:v>2.5093699608458309E-4</c:v>
                </c:pt>
                <c:pt idx="4">
                  <c:v>3.0289283997819716E-4</c:v>
                </c:pt>
                <c:pt idx="5">
                  <c:v>9.7535659270064912E-5</c:v>
                </c:pt>
                <c:pt idx="6">
                  <c:v>1.2496213672297252E-4</c:v>
                </c:pt>
                <c:pt idx="7">
                  <c:v>1.2864377587118447E-4</c:v>
                </c:pt>
                <c:pt idx="8">
                  <c:v>2.8898309381442111E-4</c:v>
                </c:pt>
                <c:pt idx="10">
                  <c:v>1.1263591524057759E-4</c:v>
                </c:pt>
                <c:pt idx="11">
                  <c:v>1.168952044932059E-4</c:v>
                </c:pt>
                <c:pt idx="13">
                  <c:v>1.0162205230224153E-4</c:v>
                </c:pt>
              </c:numCache>
            </c:numRef>
          </c:xVal>
          <c:yVal>
            <c:numRef>
              <c:f>m!$DY$96:$EL$96</c:f>
              <c:numCache>
                <c:formatCode>General</c:formatCode>
                <c:ptCount val="14"/>
                <c:pt idx="0">
                  <c:v>8.0736939293288259</c:v>
                </c:pt>
                <c:pt idx="1">
                  <c:v>8.5723204770723118</c:v>
                </c:pt>
                <c:pt idx="2">
                  <c:v>9.3688715981853772</c:v>
                </c:pt>
                <c:pt idx="3">
                  <c:v>11.808645757253798</c:v>
                </c:pt>
                <c:pt idx="4">
                  <c:v>9.3027335683988124</c:v>
                </c:pt>
                <c:pt idx="5">
                  <c:v>8.8407959437509973</c:v>
                </c:pt>
                <c:pt idx="6">
                  <c:v>9.4797698241348378</c:v>
                </c:pt>
                <c:pt idx="7">
                  <c:v>7.8622566156607085</c:v>
                </c:pt>
                <c:pt idx="8">
                  <c:v>9.6176111415033159</c:v>
                </c:pt>
                <c:pt idx="10">
                  <c:v>7.4199267899654808</c:v>
                </c:pt>
                <c:pt idx="11">
                  <c:v>7.9053481326688049</c:v>
                </c:pt>
                <c:pt idx="13">
                  <c:v>7.3530728474436851</c:v>
                </c:pt>
              </c:numCache>
            </c:numRef>
          </c:yVal>
          <c:smooth val="0"/>
          <c:extLst>
            <c:ext xmlns:c16="http://schemas.microsoft.com/office/drawing/2014/chart" uri="{C3380CC4-5D6E-409C-BE32-E72D297353CC}">
              <c16:uniqueId val="{0000000B-B269-4FAC-8732-BB66AF02E94D}"/>
            </c:ext>
          </c:extLst>
        </c:ser>
        <c:dLbls>
          <c:showLegendKey val="0"/>
          <c:showVal val="0"/>
          <c:showCatName val="0"/>
          <c:showSerName val="0"/>
          <c:showPercent val="0"/>
          <c:showBubbleSize val="0"/>
        </c:dLbls>
        <c:axId val="624399680"/>
        <c:axId val="624400008"/>
        <c:extLst>
          <c:ext xmlns:c15="http://schemas.microsoft.com/office/drawing/2012/chart" uri="{02D57815-91ED-43cb-92C2-25804820EDAC}">
            <c15:filteredScatterSeries>
              <c15:ser>
                <c:idx val="1"/>
                <c:order val="12"/>
                <c:tx>
                  <c:v>In Line, OL</c:v>
                </c:tx>
                <c:spPr>
                  <a:ln w="25400" cap="rnd">
                    <a:noFill/>
                    <a:round/>
                  </a:ln>
                  <a:effectLst/>
                </c:spPr>
                <c:marker>
                  <c:symbol val="circle"/>
                  <c:size val="7"/>
                  <c:spPr>
                    <a:noFill/>
                    <a:ln w="15875">
                      <a:solidFill>
                        <a:schemeClr val="tx1"/>
                      </a:solidFill>
                    </a:ln>
                    <a:effectLst/>
                  </c:spPr>
                </c:marker>
                <c:xVal>
                  <c:numRef>
                    <c:extLst>
                      <c:ext uri="{02D57815-91ED-43cb-92C2-25804820EDAC}">
                        <c15:formulaRef>
                          <c15:sqref>m!$AF$86:$AO$86</c15:sqref>
                        </c15:formulaRef>
                      </c:ext>
                    </c:extLst>
                    <c:numCache>
                      <c:formatCode>General</c:formatCode>
                      <c:ptCount val="10"/>
                      <c:pt idx="6">
                        <c:v>2.60569650261762</c:v>
                      </c:pt>
                      <c:pt idx="7">
                        <c:v>2.8052504067622763</c:v>
                      </c:pt>
                      <c:pt idx="8">
                        <c:v>2.9780821140943421</c:v>
                      </c:pt>
                      <c:pt idx="9">
                        <c:v>3.163643721763262</c:v>
                      </c:pt>
                    </c:numCache>
                  </c:numRef>
                </c:xVal>
                <c:yVal>
                  <c:numRef>
                    <c:extLst>
                      <c:ext uri="{02D57815-91ED-43cb-92C2-25804820EDAC}">
                        <c15:formulaRef>
                          <c15:sqref>m!$AF$91:$AO$91</c15:sqref>
                        </c15:formulaRef>
                      </c:ext>
                    </c:extLst>
                    <c:numCache>
                      <c:formatCode>General</c:formatCode>
                      <c:ptCount val="10"/>
                      <c:pt idx="6">
                        <c:v>3.9502776072221706</c:v>
                      </c:pt>
                      <c:pt idx="7">
                        <c:v>3.8204481933278442</c:v>
                      </c:pt>
                      <c:pt idx="8">
                        <c:v>2.8990463053331168</c:v>
                      </c:pt>
                      <c:pt idx="9">
                        <c:v>3.0460998559525874</c:v>
                      </c:pt>
                    </c:numCache>
                  </c:numRef>
                </c:yVal>
                <c:smooth val="0"/>
                <c:extLst>
                  <c:ext xmlns:c16="http://schemas.microsoft.com/office/drawing/2014/chart" uri="{C3380CC4-5D6E-409C-BE32-E72D297353CC}">
                    <c16:uniqueId val="{0000000C-B269-4FAC-8732-BB66AF02E94D}"/>
                  </c:ext>
                </c:extLst>
              </c15:ser>
            </c15:filteredScatterSeries>
            <c15:filteredScatterSeries>
              <c15:ser>
                <c:idx val="2"/>
                <c:order val="13"/>
                <c:tx>
                  <c:v>In Line, EM</c:v>
                </c:tx>
                <c:spPr>
                  <a:ln w="25400" cap="rnd">
                    <a:noFill/>
                    <a:round/>
                  </a:ln>
                  <a:effectLst/>
                </c:spPr>
                <c:marker>
                  <c:symbol val="circle"/>
                  <c:size val="7"/>
                  <c:spPr>
                    <a:noFill/>
                    <a:ln w="15875">
                      <a:solidFill>
                        <a:schemeClr val="accent3"/>
                      </a:solidFill>
                    </a:ln>
                    <a:effectLst/>
                  </c:spPr>
                </c:marker>
                <c:xVal>
                  <c:numRef>
                    <c:extLst xmlns:c15="http://schemas.microsoft.com/office/drawing/2012/chart">
                      <c:ext xmlns:c15="http://schemas.microsoft.com/office/drawing/2012/chart" uri="{02D57815-91ED-43cb-92C2-25804820EDAC}">
                        <c15:formulaRef>
                          <c15:sqref>m!$AP$86:$BL$86</c15:sqref>
                        </c15:formulaRef>
                      </c:ext>
                    </c:extLst>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extLst xmlns:c15="http://schemas.microsoft.com/office/drawing/2012/chart">
                      <c:ext xmlns:c15="http://schemas.microsoft.com/office/drawing/2012/chart" uri="{02D57815-91ED-43cb-92C2-25804820EDAC}">
                        <c15:formulaRef>
                          <c15:sqref>m!$AP$91:$BL$91</c15:sqref>
                        </c15:formulaRef>
                      </c:ext>
                    </c:extLst>
                    <c:numCache>
                      <c:formatCode>General</c:formatCode>
                      <c:ptCount val="23"/>
                      <c:pt idx="0">
                        <c:v>3.9015319384578984</c:v>
                      </c:pt>
                      <c:pt idx="1">
                        <c:v>4.0324241551015083</c:v>
                      </c:pt>
                      <c:pt idx="2">
                        <c:v>2.4087539710783048</c:v>
                      </c:pt>
                      <c:pt idx="3">
                        <c:v>2.5988468550675954</c:v>
                      </c:pt>
                      <c:pt idx="4">
                        <c:v>2.4975377660733624</c:v>
                      </c:pt>
                      <c:pt idx="6">
                        <c:v>2.4940490859525726</c:v>
                      </c:pt>
                      <c:pt idx="12">
                        <c:v>2.077389993099553</c:v>
                      </c:pt>
                      <c:pt idx="19">
                        <c:v>3.887685418105959</c:v>
                      </c:pt>
                      <c:pt idx="20">
                        <c:v>3.0668865507265997</c:v>
                      </c:pt>
                      <c:pt idx="21">
                        <c:v>4.0491103337392174</c:v>
                      </c:pt>
                    </c:numCache>
                  </c:numRef>
                </c:yVal>
                <c:smooth val="0"/>
                <c:extLst xmlns:c15="http://schemas.microsoft.com/office/drawing/2012/chart">
                  <c:ext xmlns:c16="http://schemas.microsoft.com/office/drawing/2014/chart" uri="{C3380CC4-5D6E-409C-BE32-E72D297353CC}">
                    <c16:uniqueId val="{0000000D-B269-4FAC-8732-BB66AF02E94D}"/>
                  </c:ext>
                </c:extLst>
              </c15:ser>
            </c15:filteredScatterSeries>
            <c15:filteredScatterSeries>
              <c15:ser>
                <c:idx val="3"/>
                <c:order val="14"/>
                <c:tx>
                  <c:v>In Line, Shell</c:v>
                </c:tx>
                <c:spPr>
                  <a:ln w="25400" cap="rnd">
                    <a:noFill/>
                    <a:round/>
                  </a:ln>
                  <a:effectLst/>
                </c:spPr>
                <c:marker>
                  <c:symbol val="circle"/>
                  <c:size val="7"/>
                  <c:spPr>
                    <a:noFill/>
                    <a:ln w="15875">
                      <a:solidFill>
                        <a:schemeClr val="accent2"/>
                      </a:solidFill>
                    </a:ln>
                    <a:effectLst/>
                  </c:spPr>
                </c:marker>
                <c:xVal>
                  <c:numRef>
                    <c:extLst xmlns:c15="http://schemas.microsoft.com/office/drawing/2012/chart">
                      <c:ext xmlns:c15="http://schemas.microsoft.com/office/drawing/2012/chart" uri="{02D57815-91ED-43cb-92C2-25804820EDAC}">
                        <c15:formulaRef>
                          <c15:sqref>m!$DU$86:$DX$86</c15:sqref>
                        </c15:formulaRef>
                      </c:ext>
                    </c:extLst>
                    <c:numCache>
                      <c:formatCode>General</c:formatCode>
                      <c:ptCount val="4"/>
                      <c:pt idx="1">
                        <c:v>3.8469075681895233</c:v>
                      </c:pt>
                    </c:numCache>
                  </c:numRef>
                </c:xVal>
                <c:yVal>
                  <c:numRef>
                    <c:extLst xmlns:c15="http://schemas.microsoft.com/office/drawing/2012/chart">
                      <c:ext xmlns:c15="http://schemas.microsoft.com/office/drawing/2012/chart" uri="{02D57815-91ED-43cb-92C2-25804820EDAC}">
                        <c15:formulaRef>
                          <c15:sqref>m!$DU$91:$DX$91</c15:sqref>
                        </c15:formulaRef>
                      </c:ext>
                    </c:extLst>
                    <c:numCache>
                      <c:formatCode>General</c:formatCode>
                      <c:ptCount val="4"/>
                      <c:pt idx="1">
                        <c:v>5.9805420003862961</c:v>
                      </c:pt>
                    </c:numCache>
                  </c:numRef>
                </c:yVal>
                <c:smooth val="0"/>
                <c:extLst xmlns:c15="http://schemas.microsoft.com/office/drawing/2012/chart">
                  <c:ext xmlns:c16="http://schemas.microsoft.com/office/drawing/2014/chart" uri="{C3380CC4-5D6E-409C-BE32-E72D297353CC}">
                    <c16:uniqueId val="{0000000E-B269-4FAC-8732-BB66AF02E94D}"/>
                  </c:ext>
                </c:extLst>
              </c15:ser>
            </c15:filteredScatterSeries>
          </c:ext>
        </c:extLst>
      </c:scatterChart>
      <c:valAx>
        <c:axId val="624399680"/>
        <c:scaling>
          <c:logBase val="10"/>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Relative Change in Natural Frequency due to Arch Action for Strouhal Mode, ψ</a:t>
                </a:r>
                <a:r>
                  <a:rPr lang="en-US" sz="1400" b="0" i="0" u="none" strike="noStrike" baseline="-25000">
                    <a:effectLst/>
                  </a:rPr>
                  <a:t>arch,st</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baseline="0">
                    <a:effectLst/>
                  </a:rPr>
                  <a:t>Normalized Fatigue-Equivalent Strain Amplitude,   ϵ̃</a:t>
                </a:r>
                <a:r>
                  <a:rPr lang="en-US" sz="1400" b="0" i="0" baseline="-25000">
                    <a:effectLst/>
                  </a:rPr>
                  <a:t>e</a:t>
                </a:r>
                <a:r>
                  <a:rPr lang="en-US" sz="1400" b="0" i="0" baseline="0">
                    <a:effectLst/>
                  </a:rPr>
                  <a:t> = ϵ</a:t>
                </a:r>
                <a:r>
                  <a:rPr lang="en-US" sz="1400" b="0" i="0" baseline="-25000">
                    <a:effectLst/>
                  </a:rPr>
                  <a:t>e</a:t>
                </a:r>
                <a:r>
                  <a:rPr lang="en-US" sz="1400" b="0" i="0" baseline="0">
                    <a:effectLst/>
                  </a:rPr>
                  <a:t>/(R</a:t>
                </a:r>
                <a:r>
                  <a:rPr lang="en-US" sz="1400" b="0" i="0" baseline="-25000">
                    <a:effectLst/>
                  </a:rPr>
                  <a:t>ϵ</a:t>
                </a:r>
                <a:r>
                  <a:rPr lang="en-US" sz="1400" b="0" i="0" baseline="0">
                    <a:effectLst/>
                  </a:rPr>
                  <a:t>D/L</a:t>
                </a:r>
                <a:r>
                  <a:rPr lang="en-US" sz="1400" b="0" i="0" baseline="-25000">
                    <a:effectLst/>
                  </a:rPr>
                  <a:t>st</a:t>
                </a:r>
                <a:r>
                  <a:rPr lang="en-US" sz="1400" b="0" i="0" baseline="30000">
                    <a:effectLst/>
                  </a:rPr>
                  <a:t>2</a:t>
                </a:r>
                <a:r>
                  <a:rPr lang="en-US" sz="1400" b="0" i="0" baseline="0">
                    <a:effectLst/>
                  </a:rPr>
                  <a:t>)</a:t>
                </a:r>
                <a:endParaRPr lang="en-US" sz="1400">
                  <a:effectLst/>
                </a:endParaRPr>
              </a:p>
            </c:rich>
          </c:tx>
          <c:layout>
            <c:manualLayout>
              <c:xMode val="edge"/>
              <c:yMode val="edge"/>
              <c:x val="1.2786980528916013E-2"/>
              <c:y val="5.1139526362623478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At val="1.0000000000000005E-7"/>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m!$AF$109:$AO$109</c:f>
              <c:numCache>
                <c:formatCode>General</c:formatCode>
                <c:ptCount val="10"/>
                <c:pt idx="6">
                  <c:v>2.0844774543408411</c:v>
                </c:pt>
                <c:pt idx="7">
                  <c:v>2.0269895828109559</c:v>
                </c:pt>
                <c:pt idx="8">
                  <c:v>1.992064855052893</c:v>
                </c:pt>
                <c:pt idx="9">
                  <c:v>1.9399669151682883</c:v>
                </c:pt>
              </c:numCache>
            </c:numRef>
          </c:xVal>
          <c:yVal>
            <c:numRef>
              <c:f>m!$AF$95:$AO$95</c:f>
              <c:numCache>
                <c:formatCode>General</c:formatCode>
                <c:ptCount val="10"/>
                <c:pt idx="6">
                  <c:v>6.0414806166082506</c:v>
                </c:pt>
                <c:pt idx="7">
                  <c:v>6.1292359928204512</c:v>
                </c:pt>
                <c:pt idx="8">
                  <c:v>5.2848958185987494</c:v>
                </c:pt>
                <c:pt idx="9">
                  <c:v>4.2979154085934459</c:v>
                </c:pt>
              </c:numCache>
            </c:numRef>
          </c:yVal>
          <c:smooth val="0"/>
          <c:extLst>
            <c:ext xmlns:c16="http://schemas.microsoft.com/office/drawing/2014/chart" uri="{C3380CC4-5D6E-409C-BE32-E72D297353CC}">
              <c16:uniqueId val="{00000000-0F0E-4EA6-BF06-D2D44C173F83}"/>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m!$AP$109:$BL$109</c:f>
              <c:numCache>
                <c:formatCode>General</c:formatCode>
                <c:ptCount val="23"/>
                <c:pt idx="0">
                  <c:v>7.9291604351576783E-3</c:v>
                </c:pt>
                <c:pt idx="1">
                  <c:v>2.9325115807332658E-3</c:v>
                </c:pt>
                <c:pt idx="2">
                  <c:v>8.5578398532559774E-4</c:v>
                </c:pt>
                <c:pt idx="3">
                  <c:v>2.9210263665249148E-3</c:v>
                </c:pt>
                <c:pt idx="4">
                  <c:v>2.9030608834381688E-3</c:v>
                </c:pt>
                <c:pt idx="6">
                  <c:v>8.9944264216392344E-2</c:v>
                </c:pt>
                <c:pt idx="12">
                  <c:v>0.21262535774716373</c:v>
                </c:pt>
                <c:pt idx="19">
                  <c:v>1.1150950006033611E-4</c:v>
                </c:pt>
                <c:pt idx="20">
                  <c:v>5.0124766908399288E-4</c:v>
                </c:pt>
                <c:pt idx="21">
                  <c:v>2.1503504823150443E-4</c:v>
                </c:pt>
              </c:numCache>
            </c:numRef>
          </c:xVal>
          <c:yVal>
            <c:numRef>
              <c:f>m!$AP$95:$BL$95</c:f>
              <c:numCache>
                <c:formatCode>General</c:formatCode>
                <c:ptCount val="23"/>
                <c:pt idx="0">
                  <c:v>5.0532147082786567</c:v>
                </c:pt>
                <c:pt idx="1">
                  <c:v>3.6133175421953494</c:v>
                </c:pt>
                <c:pt idx="2">
                  <c:v>4.4434942874585293</c:v>
                </c:pt>
                <c:pt idx="3">
                  <c:v>4.9154385147601225</c:v>
                </c:pt>
                <c:pt idx="4">
                  <c:v>5.3963977447979259</c:v>
                </c:pt>
                <c:pt idx="6">
                  <c:v>3.52255142553093</c:v>
                </c:pt>
                <c:pt idx="12">
                  <c:v>4.1401928182528742</c:v>
                </c:pt>
                <c:pt idx="19">
                  <c:v>4.490854651714832</c:v>
                </c:pt>
                <c:pt idx="20">
                  <c:v>4.8959517967458943</c:v>
                </c:pt>
                <c:pt idx="21">
                  <c:v>3.8939295934451761</c:v>
                </c:pt>
              </c:numCache>
            </c:numRef>
          </c:yVal>
          <c:smooth val="0"/>
          <c:extLst>
            <c:ext xmlns:c16="http://schemas.microsoft.com/office/drawing/2014/chart" uri="{C3380CC4-5D6E-409C-BE32-E72D297353CC}">
              <c16:uniqueId val="{00000001-0F0E-4EA6-BF06-D2D44C173F83}"/>
            </c:ext>
          </c:extLst>
        </c:ser>
        <c:ser>
          <c:idx val="11"/>
          <c:order val="2"/>
          <c:tx>
            <c:v>CF, Pipe 1</c:v>
          </c:tx>
          <c:spPr>
            <a:ln w="25400" cap="rnd">
              <a:noFill/>
              <a:round/>
            </a:ln>
            <a:effectLst/>
          </c:spPr>
          <c:marker>
            <c:symbol val="x"/>
            <c:size val="7"/>
            <c:spPr>
              <a:noFill/>
              <a:ln w="15875">
                <a:solidFill>
                  <a:schemeClr val="accent6"/>
                </a:solidFill>
              </a:ln>
              <a:effectLst/>
            </c:spPr>
          </c:marker>
          <c:xVal>
            <c:numRef>
              <c:f>m!$BM$109:$CO$109</c:f>
              <c:numCache>
                <c:formatCode>General</c:formatCode>
                <c:ptCount val="29"/>
                <c:pt idx="0">
                  <c:v>0.22240348654487585</c:v>
                </c:pt>
                <c:pt idx="1">
                  <c:v>0.47808639195411762</c:v>
                </c:pt>
                <c:pt idx="3">
                  <c:v>1.7192565365107715E-2</c:v>
                </c:pt>
                <c:pt idx="4">
                  <c:v>4.874854422068875E-2</c:v>
                </c:pt>
                <c:pt idx="5">
                  <c:v>4.6288011505090543E-2</c:v>
                </c:pt>
                <c:pt idx="6">
                  <c:v>0.11399079086828801</c:v>
                </c:pt>
                <c:pt idx="7">
                  <c:v>0.17344238984453964</c:v>
                </c:pt>
                <c:pt idx="8">
                  <c:v>0.22004481459080849</c:v>
                </c:pt>
                <c:pt idx="9">
                  <c:v>0.24657599212340298</c:v>
                </c:pt>
                <c:pt idx="10">
                  <c:v>0.32419643631310069</c:v>
                </c:pt>
                <c:pt idx="11">
                  <c:v>0.36249043852097906</c:v>
                </c:pt>
                <c:pt idx="12">
                  <c:v>0.40348172392607373</c:v>
                </c:pt>
                <c:pt idx="13">
                  <c:v>1.7214397748970489E-2</c:v>
                </c:pt>
                <c:pt idx="14">
                  <c:v>0.24496829123051489</c:v>
                </c:pt>
                <c:pt idx="15">
                  <c:v>0.2016560061696393</c:v>
                </c:pt>
                <c:pt idx="16">
                  <c:v>0.38920258242156458</c:v>
                </c:pt>
                <c:pt idx="17">
                  <c:v>0.41965782989447842</c:v>
                </c:pt>
                <c:pt idx="18">
                  <c:v>0.44039376544814912</c:v>
                </c:pt>
                <c:pt idx="19">
                  <c:v>0.45411671408564325</c:v>
                </c:pt>
              </c:numCache>
            </c:numRef>
          </c:xVal>
          <c:yVal>
            <c:numRef>
              <c:f>m!$BM$95:$CO$95</c:f>
              <c:numCache>
                <c:formatCode>General</c:formatCode>
                <c:ptCount val="29"/>
                <c:pt idx="0">
                  <c:v>10.120470713192889</c:v>
                </c:pt>
                <c:pt idx="1">
                  <c:v>8.9453772336192614</c:v>
                </c:pt>
                <c:pt idx="3">
                  <c:v>10.611578666711525</c:v>
                </c:pt>
                <c:pt idx="4">
                  <c:v>13.484969152564005</c:v>
                </c:pt>
                <c:pt idx="5">
                  <c:v>9.6684949677469909</c:v>
                </c:pt>
                <c:pt idx="6">
                  <c:v>10.056504925363537</c:v>
                </c:pt>
                <c:pt idx="7">
                  <c:v>11.387889643620143</c:v>
                </c:pt>
                <c:pt idx="8">
                  <c:v>9.5704123434084227</c:v>
                </c:pt>
                <c:pt idx="9">
                  <c:v>9.3655475104383363</c:v>
                </c:pt>
                <c:pt idx="10">
                  <c:v>7.9975610372982713</c:v>
                </c:pt>
                <c:pt idx="11">
                  <c:v>8.2532209331067783</c:v>
                </c:pt>
                <c:pt idx="12">
                  <c:v>7.954322186490991</c:v>
                </c:pt>
                <c:pt idx="13">
                  <c:v>10.007795801208351</c:v>
                </c:pt>
                <c:pt idx="14">
                  <c:v>9.8621963860643529</c:v>
                </c:pt>
                <c:pt idx="15">
                  <c:v>9.4519747608689038</c:v>
                </c:pt>
                <c:pt idx="16">
                  <c:v>7.5048349972577322</c:v>
                </c:pt>
                <c:pt idx="17">
                  <c:v>7.5765537722697776</c:v>
                </c:pt>
                <c:pt idx="18">
                  <c:v>6.4600890770907728</c:v>
                </c:pt>
                <c:pt idx="19">
                  <c:v>6.3590149916729768</c:v>
                </c:pt>
              </c:numCache>
            </c:numRef>
          </c:yVal>
          <c:smooth val="0"/>
          <c:extLst>
            <c:ext xmlns:c16="http://schemas.microsoft.com/office/drawing/2014/chart" uri="{C3380CC4-5D6E-409C-BE32-E72D297353CC}">
              <c16:uniqueId val="{00000002-0F0E-4EA6-BF06-D2D44C173F83}"/>
            </c:ext>
          </c:extLst>
        </c:ser>
        <c:ser>
          <c:idx val="13"/>
          <c:order val="3"/>
          <c:tx>
            <c:v>CF, Pipe 2</c:v>
          </c:tx>
          <c:spPr>
            <a:ln w="25400" cap="rnd">
              <a:noFill/>
              <a:round/>
            </a:ln>
            <a:effectLst/>
          </c:spPr>
          <c:marker>
            <c:symbol val="x"/>
            <c:size val="7"/>
            <c:spPr>
              <a:noFill/>
              <a:ln w="15875">
                <a:solidFill>
                  <a:srgbClr val="00B0F0"/>
                </a:solidFill>
              </a:ln>
              <a:effectLst/>
            </c:spPr>
          </c:marker>
          <c:xVal>
            <c:numRef>
              <c:f>m!$CP$109:$DT$109</c:f>
              <c:numCache>
                <c:formatCode>General</c:formatCode>
                <c:ptCount val="31"/>
                <c:pt idx="0">
                  <c:v>0.1030879083462497</c:v>
                </c:pt>
                <c:pt idx="1">
                  <c:v>0.1514222742239073</c:v>
                </c:pt>
                <c:pt idx="2">
                  <c:v>0.18560346798447291</c:v>
                </c:pt>
                <c:pt idx="3">
                  <c:v>0.26943459773799994</c:v>
                </c:pt>
                <c:pt idx="4">
                  <c:v>0.316386470026917</c:v>
                </c:pt>
                <c:pt idx="5">
                  <c:v>0.3489368919375937</c:v>
                </c:pt>
                <c:pt idx="6">
                  <c:v>0.39278915683070847</c:v>
                </c:pt>
                <c:pt idx="7">
                  <c:v>0.45292008859096167</c:v>
                </c:pt>
                <c:pt idx="8">
                  <c:v>0.48734899869586079</c:v>
                </c:pt>
                <c:pt idx="9">
                  <c:v>0.50474706819277593</c:v>
                </c:pt>
                <c:pt idx="10">
                  <c:v>0.5353850288057056</c:v>
                </c:pt>
                <c:pt idx="11">
                  <c:v>0.55339644388546971</c:v>
                </c:pt>
                <c:pt idx="12">
                  <c:v>0.5778344657266985</c:v>
                </c:pt>
                <c:pt idx="14">
                  <c:v>0.51167091586941726</c:v>
                </c:pt>
                <c:pt idx="15">
                  <c:v>0.12390232242534971</c:v>
                </c:pt>
                <c:pt idx="18">
                  <c:v>0.92669970082511721</c:v>
                </c:pt>
                <c:pt idx="19">
                  <c:v>0.90794310833460656</c:v>
                </c:pt>
                <c:pt idx="20">
                  <c:v>0.89243778384835304</c:v>
                </c:pt>
                <c:pt idx="21">
                  <c:v>0.87817616008964006</c:v>
                </c:pt>
                <c:pt idx="22">
                  <c:v>0.86385547243498473</c:v>
                </c:pt>
                <c:pt idx="23">
                  <c:v>7.1800325055337844E-2</c:v>
                </c:pt>
                <c:pt idx="24">
                  <c:v>7.1183778361391115E-2</c:v>
                </c:pt>
                <c:pt idx="25">
                  <c:v>7.7994891495004159E-2</c:v>
                </c:pt>
                <c:pt idx="26">
                  <c:v>9.4871823300419544E-2</c:v>
                </c:pt>
                <c:pt idx="27">
                  <c:v>7.6944739457417866E-2</c:v>
                </c:pt>
                <c:pt idx="28">
                  <c:v>1.9131176658589277</c:v>
                </c:pt>
                <c:pt idx="29">
                  <c:v>1.7143072570767419</c:v>
                </c:pt>
              </c:numCache>
            </c:numRef>
          </c:xVal>
          <c:yVal>
            <c:numRef>
              <c:f>m!$CP$95:$DT$95</c:f>
              <c:numCache>
                <c:formatCode>General</c:formatCode>
                <c:ptCount val="31"/>
                <c:pt idx="0">
                  <c:v>7.230064864592558</c:v>
                </c:pt>
                <c:pt idx="1">
                  <c:v>7.8432795970043863</c:v>
                </c:pt>
                <c:pt idx="2">
                  <c:v>7.1611992718238096</c:v>
                </c:pt>
                <c:pt idx="3">
                  <c:v>8.5921413030732001</c:v>
                </c:pt>
                <c:pt idx="4">
                  <c:v>6.661272134560023</c:v>
                </c:pt>
                <c:pt idx="5">
                  <c:v>7.7435399296450607</c:v>
                </c:pt>
                <c:pt idx="6">
                  <c:v>6.1997981508460969</c:v>
                </c:pt>
                <c:pt idx="7">
                  <c:v>7.7408089896434431</c:v>
                </c:pt>
                <c:pt idx="8">
                  <c:v>8.6625983848095451</c:v>
                </c:pt>
                <c:pt idx="9">
                  <c:v>6.621771797238047</c:v>
                </c:pt>
                <c:pt idx="10">
                  <c:v>6.9659330774762003</c:v>
                </c:pt>
                <c:pt idx="11">
                  <c:v>7.1453382407870949</c:v>
                </c:pt>
                <c:pt idx="12">
                  <c:v>8.4516911292205865</c:v>
                </c:pt>
                <c:pt idx="14">
                  <c:v>6.0778760902500926</c:v>
                </c:pt>
                <c:pt idx="15">
                  <c:v>8.6619524722903734</c:v>
                </c:pt>
                <c:pt idx="18">
                  <c:v>7.3483443733593532</c:v>
                </c:pt>
                <c:pt idx="19">
                  <c:v>8.0072612621981989</c:v>
                </c:pt>
                <c:pt idx="20">
                  <c:v>7.0758839302446521</c:v>
                </c:pt>
                <c:pt idx="21">
                  <c:v>6.8389367669751673</c:v>
                </c:pt>
                <c:pt idx="22">
                  <c:v>6.2031731981670291</c:v>
                </c:pt>
                <c:pt idx="23">
                  <c:v>9.608322876774281</c:v>
                </c:pt>
                <c:pt idx="24">
                  <c:v>8.2080991638713332</c:v>
                </c:pt>
                <c:pt idx="25">
                  <c:v>10.795030638909601</c:v>
                </c:pt>
                <c:pt idx="26">
                  <c:v>9.9406684789797772</c:v>
                </c:pt>
                <c:pt idx="27">
                  <c:v>7.6699085645929568</c:v>
                </c:pt>
                <c:pt idx="28">
                  <c:v>6.1233547438995259</c:v>
                </c:pt>
                <c:pt idx="29">
                  <c:v>6.1359189433264092</c:v>
                </c:pt>
              </c:numCache>
            </c:numRef>
          </c:yVal>
          <c:smooth val="0"/>
          <c:extLst>
            <c:ext xmlns:c16="http://schemas.microsoft.com/office/drawing/2014/chart" uri="{C3380CC4-5D6E-409C-BE32-E72D297353CC}">
              <c16:uniqueId val="{00000003-0F0E-4EA6-BF06-D2D44C173F83}"/>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m!$DU$109:$DX$109</c:f>
              <c:numCache>
                <c:formatCode>General</c:formatCode>
                <c:ptCount val="4"/>
                <c:pt idx="1">
                  <c:v>0.11528285917730674</c:v>
                </c:pt>
              </c:numCache>
            </c:numRef>
          </c:xVal>
          <c:yVal>
            <c:numRef>
              <c:f>m!$DU$95:$DX$95</c:f>
              <c:numCache>
                <c:formatCode>General</c:formatCode>
                <c:ptCount val="4"/>
                <c:pt idx="1">
                  <c:v>11.627400337732656</c:v>
                </c:pt>
              </c:numCache>
            </c:numRef>
          </c:yVal>
          <c:smooth val="0"/>
          <c:extLst>
            <c:ext xmlns:c16="http://schemas.microsoft.com/office/drawing/2014/chart" uri="{C3380CC4-5D6E-409C-BE32-E72D297353CC}">
              <c16:uniqueId val="{00000004-0F0E-4EA6-BF06-D2D44C173F83}"/>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m!$DY$109:$EL$109</c:f>
              <c:numCache>
                <c:formatCode>General</c:formatCode>
                <c:ptCount val="14"/>
                <c:pt idx="0">
                  <c:v>1.8615464102569979E-2</c:v>
                </c:pt>
                <c:pt idx="1">
                  <c:v>6.670557764363827E-2</c:v>
                </c:pt>
                <c:pt idx="2">
                  <c:v>8.980378762390484E-2</c:v>
                </c:pt>
                <c:pt idx="3">
                  <c:v>0.15162805741340057</c:v>
                </c:pt>
                <c:pt idx="4">
                  <c:v>0.18038617597698869</c:v>
                </c:pt>
                <c:pt idx="5">
                  <c:v>0.22572875217865351</c:v>
                </c:pt>
                <c:pt idx="6">
                  <c:v>0.28044342328874716</c:v>
                </c:pt>
                <c:pt idx="7">
                  <c:v>0.28758640830080529</c:v>
                </c:pt>
                <c:pt idx="8">
                  <c:v>0.58052263685886607</c:v>
                </c:pt>
                <c:pt idx="10">
                  <c:v>0.62052670634615659</c:v>
                </c:pt>
                <c:pt idx="11">
                  <c:v>0.63333216651548674</c:v>
                </c:pt>
                <c:pt idx="13">
                  <c:v>0.58504599104328703</c:v>
                </c:pt>
              </c:numCache>
            </c:numRef>
          </c:xVal>
          <c:yVal>
            <c:numRef>
              <c:f>m!$DY$95:$EL$95</c:f>
              <c:numCache>
                <c:formatCode>General</c:formatCode>
                <c:ptCount val="14"/>
                <c:pt idx="0">
                  <c:v>11.841933921401584</c:v>
                </c:pt>
                <c:pt idx="1">
                  <c:v>10.112716420782542</c:v>
                </c:pt>
                <c:pt idx="2">
                  <c:v>10.75326981223963</c:v>
                </c:pt>
                <c:pt idx="3">
                  <c:v>12.593437950738654</c:v>
                </c:pt>
                <c:pt idx="4">
                  <c:v>9.9708079988168254</c:v>
                </c:pt>
                <c:pt idx="5">
                  <c:v>12.57159489291657</c:v>
                </c:pt>
                <c:pt idx="6">
                  <c:v>11.025393435074347</c:v>
                </c:pt>
                <c:pt idx="7">
                  <c:v>8.8729996804417208</c:v>
                </c:pt>
                <c:pt idx="8">
                  <c:v>12.254596368878824</c:v>
                </c:pt>
                <c:pt idx="10">
                  <c:v>9.2304269063872528</c:v>
                </c:pt>
                <c:pt idx="11">
                  <c:v>10.128045629794443</c:v>
                </c:pt>
                <c:pt idx="13">
                  <c:v>8.7481293899266319</c:v>
                </c:pt>
              </c:numCache>
            </c:numRef>
          </c:yVal>
          <c:smooth val="0"/>
          <c:extLst>
            <c:ext xmlns:c16="http://schemas.microsoft.com/office/drawing/2014/chart" uri="{C3380CC4-5D6E-409C-BE32-E72D297353CC}">
              <c16:uniqueId val="{00000005-0F0E-4EA6-BF06-D2D44C173F83}"/>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m!$AF$109:$AO$109</c:f>
              <c:numCache>
                <c:formatCode>General</c:formatCode>
                <c:ptCount val="10"/>
                <c:pt idx="6">
                  <c:v>2.0844774543408411</c:v>
                </c:pt>
                <c:pt idx="7">
                  <c:v>2.0269895828109559</c:v>
                </c:pt>
                <c:pt idx="8">
                  <c:v>1.992064855052893</c:v>
                </c:pt>
                <c:pt idx="9">
                  <c:v>1.9399669151682883</c:v>
                </c:pt>
              </c:numCache>
            </c:numRef>
          </c:xVal>
          <c:yVal>
            <c:numRef>
              <c:f>m!$AF$96:$AO$96</c:f>
              <c:numCache>
                <c:formatCode>General</c:formatCode>
                <c:ptCount val="10"/>
                <c:pt idx="6">
                  <c:v>4.6527598235675249</c:v>
                </c:pt>
                <c:pt idx="7">
                  <c:v>4.2805274655235781</c:v>
                </c:pt>
                <c:pt idx="8">
                  <c:v>3.4393569277814708</c:v>
                </c:pt>
                <c:pt idx="9">
                  <c:v>3.6129037340831314</c:v>
                </c:pt>
              </c:numCache>
            </c:numRef>
          </c:yVal>
          <c:smooth val="0"/>
          <c:extLst>
            <c:ext xmlns:c16="http://schemas.microsoft.com/office/drawing/2014/chart" uri="{C3380CC4-5D6E-409C-BE32-E72D297353CC}">
              <c16:uniqueId val="{00000006-0F0E-4EA6-BF06-D2D44C173F83}"/>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m!$AP$109:$BL$109</c:f>
              <c:numCache>
                <c:formatCode>General</c:formatCode>
                <c:ptCount val="23"/>
                <c:pt idx="0">
                  <c:v>7.9291604351576783E-3</c:v>
                </c:pt>
                <c:pt idx="1">
                  <c:v>2.9325115807332658E-3</c:v>
                </c:pt>
                <c:pt idx="2">
                  <c:v>8.5578398532559774E-4</c:v>
                </c:pt>
                <c:pt idx="3">
                  <c:v>2.9210263665249148E-3</c:v>
                </c:pt>
                <c:pt idx="4">
                  <c:v>2.9030608834381688E-3</c:v>
                </c:pt>
                <c:pt idx="6">
                  <c:v>8.9944264216392344E-2</c:v>
                </c:pt>
                <c:pt idx="12">
                  <c:v>0.21262535774716373</c:v>
                </c:pt>
                <c:pt idx="19">
                  <c:v>1.1150950006033611E-4</c:v>
                </c:pt>
                <c:pt idx="20">
                  <c:v>5.0124766908399288E-4</c:v>
                </c:pt>
                <c:pt idx="21">
                  <c:v>2.1503504823150443E-4</c:v>
                </c:pt>
              </c:numCache>
            </c:numRef>
          </c:xVal>
          <c:yVal>
            <c:numRef>
              <c:f>m!$AP$96:$BL$96</c:f>
              <c:numCache>
                <c:formatCode>General</c:formatCode>
                <c:ptCount val="23"/>
                <c:pt idx="0">
                  <c:v>5.4755784611121161</c:v>
                </c:pt>
                <c:pt idx="1">
                  <c:v>5.1682826595532747</c:v>
                </c:pt>
                <c:pt idx="2">
                  <c:v>3.0985995787371445</c:v>
                </c:pt>
                <c:pt idx="3">
                  <c:v>3.134879815279314</c:v>
                </c:pt>
                <c:pt idx="4">
                  <c:v>3.0033011206407316</c:v>
                </c:pt>
                <c:pt idx="6">
                  <c:v>2.9529997740314693</c:v>
                </c:pt>
                <c:pt idx="12">
                  <c:v>2.536745078640724</c:v>
                </c:pt>
                <c:pt idx="19">
                  <c:v>5.2461545091174413</c:v>
                </c:pt>
                <c:pt idx="20">
                  <c:v>3.8667689214808134</c:v>
                </c:pt>
                <c:pt idx="21">
                  <c:v>5.2126574434788768</c:v>
                </c:pt>
              </c:numCache>
            </c:numRef>
          </c:yVal>
          <c:smooth val="0"/>
          <c:extLst>
            <c:ext xmlns:c16="http://schemas.microsoft.com/office/drawing/2014/chart" uri="{C3380CC4-5D6E-409C-BE32-E72D297353CC}">
              <c16:uniqueId val="{00000007-0F0E-4EA6-BF06-D2D44C173F83}"/>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m!$BM$109:$CO$109</c:f>
              <c:numCache>
                <c:formatCode>General</c:formatCode>
                <c:ptCount val="29"/>
                <c:pt idx="0">
                  <c:v>0.22240348654487585</c:v>
                </c:pt>
                <c:pt idx="1">
                  <c:v>0.47808639195411762</c:v>
                </c:pt>
                <c:pt idx="3">
                  <c:v>1.7192565365107715E-2</c:v>
                </c:pt>
                <c:pt idx="4">
                  <c:v>4.874854422068875E-2</c:v>
                </c:pt>
                <c:pt idx="5">
                  <c:v>4.6288011505090543E-2</c:v>
                </c:pt>
                <c:pt idx="6">
                  <c:v>0.11399079086828801</c:v>
                </c:pt>
                <c:pt idx="7">
                  <c:v>0.17344238984453964</c:v>
                </c:pt>
                <c:pt idx="8">
                  <c:v>0.22004481459080849</c:v>
                </c:pt>
                <c:pt idx="9">
                  <c:v>0.24657599212340298</c:v>
                </c:pt>
                <c:pt idx="10">
                  <c:v>0.32419643631310069</c:v>
                </c:pt>
                <c:pt idx="11">
                  <c:v>0.36249043852097906</c:v>
                </c:pt>
                <c:pt idx="12">
                  <c:v>0.40348172392607373</c:v>
                </c:pt>
                <c:pt idx="13">
                  <c:v>1.7214397748970489E-2</c:v>
                </c:pt>
                <c:pt idx="14">
                  <c:v>0.24496829123051489</c:v>
                </c:pt>
                <c:pt idx="15">
                  <c:v>0.2016560061696393</c:v>
                </c:pt>
                <c:pt idx="16">
                  <c:v>0.38920258242156458</c:v>
                </c:pt>
                <c:pt idx="17">
                  <c:v>0.41965782989447842</c:v>
                </c:pt>
                <c:pt idx="18">
                  <c:v>0.44039376544814912</c:v>
                </c:pt>
                <c:pt idx="19">
                  <c:v>0.45411671408564325</c:v>
                </c:pt>
              </c:numCache>
            </c:numRef>
          </c:xVal>
          <c:yVal>
            <c:numRef>
              <c:f>m!$BM$96:$CO$96</c:f>
              <c:numCache>
                <c:formatCode>General</c:formatCode>
                <c:ptCount val="29"/>
                <c:pt idx="0">
                  <c:v>7.7033235890944756</c:v>
                </c:pt>
                <c:pt idx="1">
                  <c:v>9.1444916587946974</c:v>
                </c:pt>
                <c:pt idx="3">
                  <c:v>8.7140648971788437</c:v>
                </c:pt>
                <c:pt idx="4">
                  <c:v>12.927157671770168</c:v>
                </c:pt>
                <c:pt idx="5">
                  <c:v>8.3600761384121469</c:v>
                </c:pt>
                <c:pt idx="6">
                  <c:v>8.9999781210833945</c:v>
                </c:pt>
                <c:pt idx="7">
                  <c:v>11.710147435168425</c:v>
                </c:pt>
                <c:pt idx="8">
                  <c:v>9.6604016799591612</c:v>
                </c:pt>
                <c:pt idx="9">
                  <c:v>8.9844518836473455</c:v>
                </c:pt>
                <c:pt idx="10">
                  <c:v>8.1478940601600911</c:v>
                </c:pt>
                <c:pt idx="11">
                  <c:v>7.9194530647955013</c:v>
                </c:pt>
                <c:pt idx="12">
                  <c:v>8.4688373486197897</c:v>
                </c:pt>
                <c:pt idx="13">
                  <c:v>8.1654266073084845</c:v>
                </c:pt>
                <c:pt idx="14">
                  <c:v>10.157317419596724</c:v>
                </c:pt>
                <c:pt idx="15">
                  <c:v>8.4459765120883326</c:v>
                </c:pt>
                <c:pt idx="16">
                  <c:v>8.8566927659923493</c:v>
                </c:pt>
                <c:pt idx="17">
                  <c:v>7.9864493524762779</c:v>
                </c:pt>
                <c:pt idx="18">
                  <c:v>7.5929751024784267</c:v>
                </c:pt>
                <c:pt idx="19">
                  <c:v>7.0417931291632536</c:v>
                </c:pt>
              </c:numCache>
            </c:numRef>
          </c:yVal>
          <c:smooth val="0"/>
          <c:extLst>
            <c:ext xmlns:c16="http://schemas.microsoft.com/office/drawing/2014/chart" uri="{C3380CC4-5D6E-409C-BE32-E72D297353CC}">
              <c16:uniqueId val="{00000008-0F0E-4EA6-BF06-D2D44C173F83}"/>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m!$CP$109:$DT$109</c:f>
              <c:numCache>
                <c:formatCode>General</c:formatCode>
                <c:ptCount val="31"/>
                <c:pt idx="0">
                  <c:v>0.1030879083462497</c:v>
                </c:pt>
                <c:pt idx="1">
                  <c:v>0.1514222742239073</c:v>
                </c:pt>
                <c:pt idx="2">
                  <c:v>0.18560346798447291</c:v>
                </c:pt>
                <c:pt idx="3">
                  <c:v>0.26943459773799994</c:v>
                </c:pt>
                <c:pt idx="4">
                  <c:v>0.316386470026917</c:v>
                </c:pt>
                <c:pt idx="5">
                  <c:v>0.3489368919375937</c:v>
                </c:pt>
                <c:pt idx="6">
                  <c:v>0.39278915683070847</c:v>
                </c:pt>
                <c:pt idx="7">
                  <c:v>0.45292008859096167</c:v>
                </c:pt>
                <c:pt idx="8">
                  <c:v>0.48734899869586079</c:v>
                </c:pt>
                <c:pt idx="9">
                  <c:v>0.50474706819277593</c:v>
                </c:pt>
                <c:pt idx="10">
                  <c:v>0.5353850288057056</c:v>
                </c:pt>
                <c:pt idx="11">
                  <c:v>0.55339644388546971</c:v>
                </c:pt>
                <c:pt idx="12">
                  <c:v>0.5778344657266985</c:v>
                </c:pt>
                <c:pt idx="14">
                  <c:v>0.51167091586941726</c:v>
                </c:pt>
                <c:pt idx="15">
                  <c:v>0.12390232242534971</c:v>
                </c:pt>
                <c:pt idx="18">
                  <c:v>0.92669970082511721</c:v>
                </c:pt>
                <c:pt idx="19">
                  <c:v>0.90794310833460656</c:v>
                </c:pt>
                <c:pt idx="20">
                  <c:v>0.89243778384835304</c:v>
                </c:pt>
                <c:pt idx="21">
                  <c:v>0.87817616008964006</c:v>
                </c:pt>
                <c:pt idx="22">
                  <c:v>0.86385547243498473</c:v>
                </c:pt>
                <c:pt idx="23">
                  <c:v>7.1800325055337844E-2</c:v>
                </c:pt>
                <c:pt idx="24">
                  <c:v>7.1183778361391115E-2</c:v>
                </c:pt>
                <c:pt idx="25">
                  <c:v>7.7994891495004159E-2</c:v>
                </c:pt>
                <c:pt idx="26">
                  <c:v>9.4871823300419544E-2</c:v>
                </c:pt>
                <c:pt idx="27">
                  <c:v>7.6944739457417866E-2</c:v>
                </c:pt>
                <c:pt idx="28">
                  <c:v>1.9131176658589277</c:v>
                </c:pt>
                <c:pt idx="29">
                  <c:v>1.7143072570767419</c:v>
                </c:pt>
              </c:numCache>
            </c:numRef>
          </c:xVal>
          <c:yVal>
            <c:numRef>
              <c:f>m!$CP$96:$DT$96</c:f>
              <c:numCache>
                <c:formatCode>General</c:formatCode>
                <c:ptCount val="31"/>
                <c:pt idx="0">
                  <c:v>6.6249810457925706</c:v>
                </c:pt>
                <c:pt idx="1">
                  <c:v>5.9447274054537775</c:v>
                </c:pt>
                <c:pt idx="2">
                  <c:v>4.3790295625014277</c:v>
                </c:pt>
                <c:pt idx="3">
                  <c:v>7.0215974595106143</c:v>
                </c:pt>
                <c:pt idx="4">
                  <c:v>5.4768436761823818</c:v>
                </c:pt>
                <c:pt idx="5">
                  <c:v>4.8822056936446092</c:v>
                </c:pt>
                <c:pt idx="6">
                  <c:v>4.4672288224686083</c:v>
                </c:pt>
                <c:pt idx="7">
                  <c:v>6.5369518717044457</c:v>
                </c:pt>
                <c:pt idx="8">
                  <c:v>7.9590472097189648</c:v>
                </c:pt>
                <c:pt idx="9">
                  <c:v>5.4878070883378705</c:v>
                </c:pt>
                <c:pt idx="10">
                  <c:v>6.5026988056572304</c:v>
                </c:pt>
                <c:pt idx="11">
                  <c:v>6.329848379965453</c:v>
                </c:pt>
                <c:pt idx="12">
                  <c:v>6.2013253457317621</c:v>
                </c:pt>
                <c:pt idx="14">
                  <c:v>5.2492619268133645</c:v>
                </c:pt>
                <c:pt idx="15">
                  <c:v>6.3209002515631276</c:v>
                </c:pt>
                <c:pt idx="18">
                  <c:v>6.4868297836002924</c:v>
                </c:pt>
                <c:pt idx="19">
                  <c:v>5.827620282954654</c:v>
                </c:pt>
                <c:pt idx="20">
                  <c:v>7.0663143302767422</c:v>
                </c:pt>
                <c:pt idx="21">
                  <c:v>5.9628619384453367</c:v>
                </c:pt>
                <c:pt idx="22">
                  <c:v>5.5226853762264438</c:v>
                </c:pt>
                <c:pt idx="23">
                  <c:v>9.7019903060697743</c:v>
                </c:pt>
                <c:pt idx="24">
                  <c:v>7.6053639768993335</c:v>
                </c:pt>
                <c:pt idx="25">
                  <c:v>7.5584542426748964</c:v>
                </c:pt>
                <c:pt idx="26">
                  <c:v>6.9427008530083283</c:v>
                </c:pt>
                <c:pt idx="27">
                  <c:v>6.4055240885023839</c:v>
                </c:pt>
                <c:pt idx="28">
                  <c:v>5.9595789339150782</c:v>
                </c:pt>
                <c:pt idx="29">
                  <c:v>5.8625018670641422</c:v>
                </c:pt>
              </c:numCache>
            </c:numRef>
          </c:yVal>
          <c:smooth val="0"/>
          <c:extLst>
            <c:ext xmlns:c16="http://schemas.microsoft.com/office/drawing/2014/chart" uri="{C3380CC4-5D6E-409C-BE32-E72D297353CC}">
              <c16:uniqueId val="{00000009-0F0E-4EA6-BF06-D2D44C173F83}"/>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m!$DU$109:$DX$109</c:f>
              <c:numCache>
                <c:formatCode>General</c:formatCode>
                <c:ptCount val="4"/>
                <c:pt idx="1">
                  <c:v>0.11528285917730674</c:v>
                </c:pt>
              </c:numCache>
            </c:numRef>
          </c:xVal>
          <c:yVal>
            <c:numRef>
              <c:f>m!$DU$96:$DX$96</c:f>
              <c:numCache>
                <c:formatCode>General</c:formatCode>
                <c:ptCount val="4"/>
                <c:pt idx="1">
                  <c:v>8.5837852954236631</c:v>
                </c:pt>
              </c:numCache>
            </c:numRef>
          </c:yVal>
          <c:smooth val="0"/>
          <c:extLst>
            <c:ext xmlns:c16="http://schemas.microsoft.com/office/drawing/2014/chart" uri="{C3380CC4-5D6E-409C-BE32-E72D297353CC}">
              <c16:uniqueId val="{0000000A-0F0E-4EA6-BF06-D2D44C173F83}"/>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m!$DY$109:$EL$109</c:f>
              <c:numCache>
                <c:formatCode>General</c:formatCode>
                <c:ptCount val="14"/>
                <c:pt idx="0">
                  <c:v>1.8615464102569979E-2</c:v>
                </c:pt>
                <c:pt idx="1">
                  <c:v>6.670557764363827E-2</c:v>
                </c:pt>
                <c:pt idx="2">
                  <c:v>8.980378762390484E-2</c:v>
                </c:pt>
                <c:pt idx="3">
                  <c:v>0.15162805741340057</c:v>
                </c:pt>
                <c:pt idx="4">
                  <c:v>0.18038617597698869</c:v>
                </c:pt>
                <c:pt idx="5">
                  <c:v>0.22572875217865351</c:v>
                </c:pt>
                <c:pt idx="6">
                  <c:v>0.28044342328874716</c:v>
                </c:pt>
                <c:pt idx="7">
                  <c:v>0.28758640830080529</c:v>
                </c:pt>
                <c:pt idx="8">
                  <c:v>0.58052263685886607</c:v>
                </c:pt>
                <c:pt idx="10">
                  <c:v>0.62052670634615659</c:v>
                </c:pt>
                <c:pt idx="11">
                  <c:v>0.63333216651548674</c:v>
                </c:pt>
                <c:pt idx="13">
                  <c:v>0.58504599104328703</c:v>
                </c:pt>
              </c:numCache>
            </c:numRef>
          </c:xVal>
          <c:yVal>
            <c:numRef>
              <c:f>m!$DY$96:$EL$96</c:f>
              <c:numCache>
                <c:formatCode>General</c:formatCode>
                <c:ptCount val="14"/>
                <c:pt idx="0">
                  <c:v>8.0736939293288259</c:v>
                </c:pt>
                <c:pt idx="1">
                  <c:v>8.5723204770723118</c:v>
                </c:pt>
                <c:pt idx="2">
                  <c:v>9.3688715981853772</c:v>
                </c:pt>
                <c:pt idx="3">
                  <c:v>11.808645757253798</c:v>
                </c:pt>
                <c:pt idx="4">
                  <c:v>9.3027335683988124</c:v>
                </c:pt>
                <c:pt idx="5">
                  <c:v>8.8407959437509973</c:v>
                </c:pt>
                <c:pt idx="6">
                  <c:v>9.4797698241348378</c:v>
                </c:pt>
                <c:pt idx="7">
                  <c:v>7.8622566156607085</c:v>
                </c:pt>
                <c:pt idx="8">
                  <c:v>9.6176111415033159</c:v>
                </c:pt>
                <c:pt idx="10">
                  <c:v>7.4199267899654808</c:v>
                </c:pt>
                <c:pt idx="11">
                  <c:v>7.9053481326688049</c:v>
                </c:pt>
                <c:pt idx="13">
                  <c:v>7.3530728474436851</c:v>
                </c:pt>
              </c:numCache>
            </c:numRef>
          </c:yVal>
          <c:smooth val="0"/>
          <c:extLst>
            <c:ext xmlns:c16="http://schemas.microsoft.com/office/drawing/2014/chart" uri="{C3380CC4-5D6E-409C-BE32-E72D297353CC}">
              <c16:uniqueId val="{0000000B-0F0E-4EA6-BF06-D2D44C173F83}"/>
            </c:ext>
          </c:extLst>
        </c:ser>
        <c:dLbls>
          <c:showLegendKey val="0"/>
          <c:showVal val="0"/>
          <c:showCatName val="0"/>
          <c:showSerName val="0"/>
          <c:showPercent val="0"/>
          <c:showBubbleSize val="0"/>
        </c:dLbls>
        <c:axId val="624399680"/>
        <c:axId val="624400008"/>
        <c:extLst>
          <c:ext xmlns:c15="http://schemas.microsoft.com/office/drawing/2012/chart" uri="{02D57815-91ED-43cb-92C2-25804820EDAC}">
            <c15:filteredScatterSeries>
              <c15:ser>
                <c:idx val="1"/>
                <c:order val="12"/>
                <c:tx>
                  <c:v>In Line, OL</c:v>
                </c:tx>
                <c:spPr>
                  <a:ln w="25400" cap="rnd">
                    <a:noFill/>
                    <a:round/>
                  </a:ln>
                  <a:effectLst/>
                </c:spPr>
                <c:marker>
                  <c:symbol val="circle"/>
                  <c:size val="7"/>
                  <c:spPr>
                    <a:noFill/>
                    <a:ln w="15875">
                      <a:solidFill>
                        <a:schemeClr val="tx1"/>
                      </a:solidFill>
                    </a:ln>
                    <a:effectLst/>
                  </c:spPr>
                </c:marker>
                <c:xVal>
                  <c:numRef>
                    <c:extLst>
                      <c:ext uri="{02D57815-91ED-43cb-92C2-25804820EDAC}">
                        <c15:formulaRef>
                          <c15:sqref>m!$AF$86:$AO$86</c15:sqref>
                        </c15:formulaRef>
                      </c:ext>
                    </c:extLst>
                    <c:numCache>
                      <c:formatCode>General</c:formatCode>
                      <c:ptCount val="10"/>
                      <c:pt idx="6">
                        <c:v>2.60569650261762</c:v>
                      </c:pt>
                      <c:pt idx="7">
                        <c:v>2.8052504067622763</c:v>
                      </c:pt>
                      <c:pt idx="8">
                        <c:v>2.9780821140943421</c:v>
                      </c:pt>
                      <c:pt idx="9">
                        <c:v>3.163643721763262</c:v>
                      </c:pt>
                    </c:numCache>
                  </c:numRef>
                </c:xVal>
                <c:yVal>
                  <c:numRef>
                    <c:extLst>
                      <c:ext uri="{02D57815-91ED-43cb-92C2-25804820EDAC}">
                        <c15:formulaRef>
                          <c15:sqref>m!$AF$91:$AO$91</c15:sqref>
                        </c15:formulaRef>
                      </c:ext>
                    </c:extLst>
                    <c:numCache>
                      <c:formatCode>General</c:formatCode>
                      <c:ptCount val="10"/>
                      <c:pt idx="6">
                        <c:v>3.9502776072221706</c:v>
                      </c:pt>
                      <c:pt idx="7">
                        <c:v>3.8204481933278442</c:v>
                      </c:pt>
                      <c:pt idx="8">
                        <c:v>2.8990463053331168</c:v>
                      </c:pt>
                      <c:pt idx="9">
                        <c:v>3.0460998559525874</c:v>
                      </c:pt>
                    </c:numCache>
                  </c:numRef>
                </c:yVal>
                <c:smooth val="0"/>
                <c:extLst>
                  <c:ext xmlns:c16="http://schemas.microsoft.com/office/drawing/2014/chart" uri="{C3380CC4-5D6E-409C-BE32-E72D297353CC}">
                    <c16:uniqueId val="{0000000C-0F0E-4EA6-BF06-D2D44C173F83}"/>
                  </c:ext>
                </c:extLst>
              </c15:ser>
            </c15:filteredScatterSeries>
            <c15:filteredScatterSeries>
              <c15:ser>
                <c:idx val="2"/>
                <c:order val="13"/>
                <c:tx>
                  <c:v>In Line, EM</c:v>
                </c:tx>
                <c:spPr>
                  <a:ln w="25400" cap="rnd">
                    <a:noFill/>
                    <a:round/>
                  </a:ln>
                  <a:effectLst/>
                </c:spPr>
                <c:marker>
                  <c:symbol val="circle"/>
                  <c:size val="7"/>
                  <c:spPr>
                    <a:noFill/>
                    <a:ln w="15875">
                      <a:solidFill>
                        <a:schemeClr val="accent3"/>
                      </a:solidFill>
                    </a:ln>
                    <a:effectLst/>
                  </c:spPr>
                </c:marker>
                <c:xVal>
                  <c:numRef>
                    <c:extLst xmlns:c15="http://schemas.microsoft.com/office/drawing/2012/chart">
                      <c:ext xmlns:c15="http://schemas.microsoft.com/office/drawing/2012/chart" uri="{02D57815-91ED-43cb-92C2-25804820EDAC}">
                        <c15:formulaRef>
                          <c15:sqref>m!$AP$86:$BL$86</c15:sqref>
                        </c15:formulaRef>
                      </c:ext>
                    </c:extLst>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extLst xmlns:c15="http://schemas.microsoft.com/office/drawing/2012/chart">
                      <c:ext xmlns:c15="http://schemas.microsoft.com/office/drawing/2012/chart" uri="{02D57815-91ED-43cb-92C2-25804820EDAC}">
                        <c15:formulaRef>
                          <c15:sqref>m!$AP$91:$BL$91</c15:sqref>
                        </c15:formulaRef>
                      </c:ext>
                    </c:extLst>
                    <c:numCache>
                      <c:formatCode>General</c:formatCode>
                      <c:ptCount val="23"/>
                      <c:pt idx="0">
                        <c:v>3.9015319384578984</c:v>
                      </c:pt>
                      <c:pt idx="1">
                        <c:v>4.0324241551015083</c:v>
                      </c:pt>
                      <c:pt idx="2">
                        <c:v>2.4087539710783048</c:v>
                      </c:pt>
                      <c:pt idx="3">
                        <c:v>2.5988468550675954</c:v>
                      </c:pt>
                      <c:pt idx="4">
                        <c:v>2.4975377660733624</c:v>
                      </c:pt>
                      <c:pt idx="6">
                        <c:v>2.4940490859525726</c:v>
                      </c:pt>
                      <c:pt idx="12">
                        <c:v>2.077389993099553</c:v>
                      </c:pt>
                      <c:pt idx="19">
                        <c:v>3.887685418105959</c:v>
                      </c:pt>
                      <c:pt idx="20">
                        <c:v>3.0668865507265997</c:v>
                      </c:pt>
                      <c:pt idx="21">
                        <c:v>4.0491103337392174</c:v>
                      </c:pt>
                    </c:numCache>
                  </c:numRef>
                </c:yVal>
                <c:smooth val="0"/>
                <c:extLst xmlns:c15="http://schemas.microsoft.com/office/drawing/2012/chart">
                  <c:ext xmlns:c16="http://schemas.microsoft.com/office/drawing/2014/chart" uri="{C3380CC4-5D6E-409C-BE32-E72D297353CC}">
                    <c16:uniqueId val="{0000000D-0F0E-4EA6-BF06-D2D44C173F83}"/>
                  </c:ext>
                </c:extLst>
              </c15:ser>
            </c15:filteredScatterSeries>
            <c15:filteredScatterSeries>
              <c15:ser>
                <c:idx val="3"/>
                <c:order val="14"/>
                <c:tx>
                  <c:v>In Line, Shell</c:v>
                </c:tx>
                <c:spPr>
                  <a:ln w="25400" cap="rnd">
                    <a:noFill/>
                    <a:round/>
                  </a:ln>
                  <a:effectLst/>
                </c:spPr>
                <c:marker>
                  <c:symbol val="circle"/>
                  <c:size val="7"/>
                  <c:spPr>
                    <a:noFill/>
                    <a:ln w="15875">
                      <a:solidFill>
                        <a:schemeClr val="accent2"/>
                      </a:solidFill>
                    </a:ln>
                    <a:effectLst/>
                  </c:spPr>
                </c:marker>
                <c:xVal>
                  <c:numRef>
                    <c:extLst xmlns:c15="http://schemas.microsoft.com/office/drawing/2012/chart">
                      <c:ext xmlns:c15="http://schemas.microsoft.com/office/drawing/2012/chart" uri="{02D57815-91ED-43cb-92C2-25804820EDAC}">
                        <c15:formulaRef>
                          <c15:sqref>m!$DU$86:$DX$86</c15:sqref>
                        </c15:formulaRef>
                      </c:ext>
                    </c:extLst>
                    <c:numCache>
                      <c:formatCode>General</c:formatCode>
                      <c:ptCount val="4"/>
                      <c:pt idx="1">
                        <c:v>3.8469075681895233</c:v>
                      </c:pt>
                    </c:numCache>
                  </c:numRef>
                </c:xVal>
                <c:yVal>
                  <c:numRef>
                    <c:extLst xmlns:c15="http://schemas.microsoft.com/office/drawing/2012/chart">
                      <c:ext xmlns:c15="http://schemas.microsoft.com/office/drawing/2012/chart" uri="{02D57815-91ED-43cb-92C2-25804820EDAC}">
                        <c15:formulaRef>
                          <c15:sqref>m!$DU$91:$DX$91</c15:sqref>
                        </c15:formulaRef>
                      </c:ext>
                    </c:extLst>
                    <c:numCache>
                      <c:formatCode>General</c:formatCode>
                      <c:ptCount val="4"/>
                      <c:pt idx="1">
                        <c:v>5.9805420003862961</c:v>
                      </c:pt>
                    </c:numCache>
                  </c:numRef>
                </c:yVal>
                <c:smooth val="0"/>
                <c:extLst xmlns:c15="http://schemas.microsoft.com/office/drawing/2012/chart">
                  <c:ext xmlns:c16="http://schemas.microsoft.com/office/drawing/2014/chart" uri="{C3380CC4-5D6E-409C-BE32-E72D297353CC}">
                    <c16:uniqueId val="{0000000E-0F0E-4EA6-BF06-D2D44C173F83}"/>
                  </c:ext>
                </c:extLst>
              </c15:ser>
            </c15:filteredScatterSeries>
          </c:ext>
        </c:extLst>
      </c:scatterChart>
      <c:valAx>
        <c:axId val="624399680"/>
        <c:scaling>
          <c:logBase val="10"/>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Relative Change in Natural Frequency due to Arch Action for Mode 1, ψ</a:t>
                </a:r>
                <a:r>
                  <a:rPr lang="en-US" sz="1400" b="0" i="0" u="none" strike="noStrike" baseline="-25000">
                    <a:effectLst/>
                  </a:rPr>
                  <a:t>arch,1</a:t>
                </a:r>
                <a:r>
                  <a:rPr lang="en-US" sz="1400" b="0" i="0" u="none" strike="noStrike" baseline="0">
                    <a:effectLst/>
                  </a:rPr>
                  <a:t> </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baseline="0">
                    <a:effectLst/>
                  </a:rPr>
                  <a:t>Normalized Fatigue-Equivalent Strain Amplitude,   ϵ̃</a:t>
                </a:r>
                <a:r>
                  <a:rPr lang="en-US" sz="1400" b="0" i="0" baseline="-25000">
                    <a:effectLst/>
                  </a:rPr>
                  <a:t>e</a:t>
                </a:r>
                <a:r>
                  <a:rPr lang="en-US" sz="1400" b="0" i="0" baseline="0">
                    <a:effectLst/>
                  </a:rPr>
                  <a:t> = ϵ</a:t>
                </a:r>
                <a:r>
                  <a:rPr lang="en-US" sz="1400" b="0" i="0" baseline="-25000">
                    <a:effectLst/>
                  </a:rPr>
                  <a:t>e</a:t>
                </a:r>
                <a:r>
                  <a:rPr lang="en-US" sz="1400" b="0" i="0" baseline="0">
                    <a:effectLst/>
                  </a:rPr>
                  <a:t>/(R</a:t>
                </a:r>
                <a:r>
                  <a:rPr lang="en-US" sz="1400" b="0" i="0" baseline="-25000">
                    <a:effectLst/>
                  </a:rPr>
                  <a:t>ϵ</a:t>
                </a:r>
                <a:r>
                  <a:rPr lang="en-US" sz="1400" b="0" i="0" baseline="0">
                    <a:effectLst/>
                  </a:rPr>
                  <a:t>D/L</a:t>
                </a:r>
                <a:r>
                  <a:rPr lang="en-US" sz="1400" b="0" i="0" baseline="-25000">
                    <a:effectLst/>
                  </a:rPr>
                  <a:t>st</a:t>
                </a:r>
                <a:r>
                  <a:rPr lang="en-US" sz="1400" b="0" i="0" baseline="30000">
                    <a:effectLst/>
                  </a:rPr>
                  <a:t>2</a:t>
                </a:r>
                <a:r>
                  <a:rPr lang="en-US" sz="1400" b="0" i="0" baseline="0">
                    <a:effectLst/>
                  </a:rPr>
                  <a:t>)</a:t>
                </a:r>
                <a:endParaRPr lang="en-US" sz="1400">
                  <a:effectLst/>
                </a:endParaRPr>
              </a:p>
            </c:rich>
          </c:tx>
          <c:layout>
            <c:manualLayout>
              <c:xMode val="edge"/>
              <c:yMode val="edge"/>
              <c:x val="1.2786980528916013E-2"/>
              <c:y val="5.1139526362623478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At val="1.0000000000000002E-3"/>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m!$AF$107:$AO$107</c:f>
              <c:numCache>
                <c:formatCode>General</c:formatCode>
                <c:ptCount val="10"/>
                <c:pt idx="6">
                  <c:v>7.4428904399396235E-3</c:v>
                </c:pt>
                <c:pt idx="7">
                  <c:v>8.012894599640814E-3</c:v>
                </c:pt>
                <c:pt idx="8">
                  <c:v>8.5065696922419758E-3</c:v>
                </c:pt>
                <c:pt idx="9">
                  <c:v>9.0366063693267384E-3</c:v>
                </c:pt>
              </c:numCache>
            </c:numRef>
          </c:xVal>
          <c:yVal>
            <c:numRef>
              <c:f>m!$AF$95:$AO$95</c:f>
              <c:numCache>
                <c:formatCode>General</c:formatCode>
                <c:ptCount val="10"/>
                <c:pt idx="6">
                  <c:v>6.0414806166082506</c:v>
                </c:pt>
                <c:pt idx="7">
                  <c:v>6.1292359928204512</c:v>
                </c:pt>
                <c:pt idx="8">
                  <c:v>5.2848958185987494</c:v>
                </c:pt>
                <c:pt idx="9">
                  <c:v>4.2979154085934459</c:v>
                </c:pt>
              </c:numCache>
            </c:numRef>
          </c:yVal>
          <c:smooth val="0"/>
          <c:extLst>
            <c:ext xmlns:c16="http://schemas.microsoft.com/office/drawing/2014/chart" uri="{C3380CC4-5D6E-409C-BE32-E72D297353CC}">
              <c16:uniqueId val="{00000000-3260-4F87-BAA7-436653D53F55}"/>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m!$AP$107:$BL$107</c:f>
              <c:numCache>
                <c:formatCode>General</c:formatCode>
                <c:ptCount val="23"/>
                <c:pt idx="0">
                  <c:v>2.9632587015489009E-3</c:v>
                </c:pt>
                <c:pt idx="1">
                  <c:v>4.1493467139350334E-3</c:v>
                </c:pt>
                <c:pt idx="2">
                  <c:v>5.9326517274453901E-3</c:v>
                </c:pt>
                <c:pt idx="3">
                  <c:v>7.5058967996163876E-3</c:v>
                </c:pt>
                <c:pt idx="4">
                  <c:v>8.9327323005535929E-3</c:v>
                </c:pt>
                <c:pt idx="6">
                  <c:v>1.1189550570792937E-2</c:v>
                </c:pt>
                <c:pt idx="12">
                  <c:v>1.5615856962144613E-2</c:v>
                </c:pt>
                <c:pt idx="19">
                  <c:v>3.6170462482760643E-3</c:v>
                </c:pt>
                <c:pt idx="20">
                  <c:v>5.1072206143773719E-3</c:v>
                </c:pt>
                <c:pt idx="21">
                  <c:v>4.2089838455053024E-3</c:v>
                </c:pt>
              </c:numCache>
            </c:numRef>
          </c:xVal>
          <c:yVal>
            <c:numRef>
              <c:f>m!$AP$95:$BL$95</c:f>
              <c:numCache>
                <c:formatCode>General</c:formatCode>
                <c:ptCount val="23"/>
                <c:pt idx="0">
                  <c:v>5.0532147082786567</c:v>
                </c:pt>
                <c:pt idx="1">
                  <c:v>3.6133175421953494</c:v>
                </c:pt>
                <c:pt idx="2">
                  <c:v>4.4434942874585293</c:v>
                </c:pt>
                <c:pt idx="3">
                  <c:v>4.9154385147601225</c:v>
                </c:pt>
                <c:pt idx="4">
                  <c:v>5.3963977447979259</c:v>
                </c:pt>
                <c:pt idx="6">
                  <c:v>3.52255142553093</c:v>
                </c:pt>
                <c:pt idx="12">
                  <c:v>4.1401928182528742</c:v>
                </c:pt>
                <c:pt idx="19">
                  <c:v>4.490854651714832</c:v>
                </c:pt>
                <c:pt idx="20">
                  <c:v>4.8959517967458943</c:v>
                </c:pt>
                <c:pt idx="21">
                  <c:v>3.8939295934451761</c:v>
                </c:pt>
              </c:numCache>
            </c:numRef>
          </c:yVal>
          <c:smooth val="0"/>
          <c:extLst>
            <c:ext xmlns:c16="http://schemas.microsoft.com/office/drawing/2014/chart" uri="{C3380CC4-5D6E-409C-BE32-E72D297353CC}">
              <c16:uniqueId val="{00000001-3260-4F87-BAA7-436653D53F55}"/>
            </c:ext>
          </c:extLst>
        </c:ser>
        <c:ser>
          <c:idx val="11"/>
          <c:order val="2"/>
          <c:tx>
            <c:v>CF, Pipe 1</c:v>
          </c:tx>
          <c:spPr>
            <a:ln w="25400" cap="rnd">
              <a:noFill/>
              <a:round/>
            </a:ln>
            <a:effectLst/>
          </c:spPr>
          <c:marker>
            <c:symbol val="x"/>
            <c:size val="7"/>
            <c:spPr>
              <a:noFill/>
              <a:ln w="15875">
                <a:solidFill>
                  <a:schemeClr val="accent6"/>
                </a:solidFill>
              </a:ln>
              <a:effectLst/>
            </c:spPr>
          </c:marker>
          <c:xVal>
            <c:numRef>
              <c:f>m!$BM$107:$CO$107</c:f>
              <c:numCache>
                <c:formatCode>General</c:formatCode>
                <c:ptCount val="29"/>
                <c:pt idx="0">
                  <c:v>5.4763639576896027E-3</c:v>
                </c:pt>
                <c:pt idx="1">
                  <c:v>8.1118427705860856E-3</c:v>
                </c:pt>
                <c:pt idx="3">
                  <c:v>4.3651055756374702E-3</c:v>
                </c:pt>
                <c:pt idx="4">
                  <c:v>5.1195549706922246E-3</c:v>
                </c:pt>
                <c:pt idx="5">
                  <c:v>5.9473779361733561E-3</c:v>
                </c:pt>
                <c:pt idx="6">
                  <c:v>6.51554488269306E-3</c:v>
                </c:pt>
                <c:pt idx="7">
                  <c:v>7.0299875843062177E-3</c:v>
                </c:pt>
                <c:pt idx="8">
                  <c:v>7.5319367201784919E-3</c:v>
                </c:pt>
                <c:pt idx="9">
                  <c:v>8.0861726599552146E-3</c:v>
                </c:pt>
                <c:pt idx="10">
                  <c:v>8.8782269428514127E-3</c:v>
                </c:pt>
                <c:pt idx="11">
                  <c:v>9.2318575837916847E-3</c:v>
                </c:pt>
                <c:pt idx="12">
                  <c:v>9.4069893657103363E-3</c:v>
                </c:pt>
                <c:pt idx="13">
                  <c:v>4.4739695214928597E-3</c:v>
                </c:pt>
                <c:pt idx="14">
                  <c:v>7.5465545144570295E-3</c:v>
                </c:pt>
                <c:pt idx="15">
                  <c:v>7.575471195660711E-3</c:v>
                </c:pt>
                <c:pt idx="16">
                  <c:v>9.4663682813768291E-3</c:v>
                </c:pt>
                <c:pt idx="17">
                  <c:v>9.7662401438041949E-3</c:v>
                </c:pt>
                <c:pt idx="18">
                  <c:v>1.0161882512882889E-2</c:v>
                </c:pt>
                <c:pt idx="19">
                  <c:v>1.053465059062641E-2</c:v>
                </c:pt>
              </c:numCache>
            </c:numRef>
          </c:xVal>
          <c:yVal>
            <c:numRef>
              <c:f>m!$BM$95:$CO$95</c:f>
              <c:numCache>
                <c:formatCode>General</c:formatCode>
                <c:ptCount val="29"/>
                <c:pt idx="0">
                  <c:v>10.120470713192889</c:v>
                </c:pt>
                <c:pt idx="1">
                  <c:v>8.9453772336192614</c:v>
                </c:pt>
                <c:pt idx="3">
                  <c:v>10.611578666711525</c:v>
                </c:pt>
                <c:pt idx="4">
                  <c:v>13.484969152564005</c:v>
                </c:pt>
                <c:pt idx="5">
                  <c:v>9.6684949677469909</c:v>
                </c:pt>
                <c:pt idx="6">
                  <c:v>10.056504925363537</c:v>
                </c:pt>
                <c:pt idx="7">
                  <c:v>11.387889643620143</c:v>
                </c:pt>
                <c:pt idx="8">
                  <c:v>9.5704123434084227</c:v>
                </c:pt>
                <c:pt idx="9">
                  <c:v>9.3655475104383363</c:v>
                </c:pt>
                <c:pt idx="10">
                  <c:v>7.9975610372982713</c:v>
                </c:pt>
                <c:pt idx="11">
                  <c:v>8.2532209331067783</c:v>
                </c:pt>
                <c:pt idx="12">
                  <c:v>7.954322186490991</c:v>
                </c:pt>
                <c:pt idx="13">
                  <c:v>10.007795801208351</c:v>
                </c:pt>
                <c:pt idx="14">
                  <c:v>9.8621963860643529</c:v>
                </c:pt>
                <c:pt idx="15">
                  <c:v>9.4519747608689038</c:v>
                </c:pt>
                <c:pt idx="16">
                  <c:v>7.5048349972577322</c:v>
                </c:pt>
                <c:pt idx="17">
                  <c:v>7.5765537722697776</c:v>
                </c:pt>
                <c:pt idx="18">
                  <c:v>6.4600890770907728</c:v>
                </c:pt>
                <c:pt idx="19">
                  <c:v>6.3590149916729768</c:v>
                </c:pt>
              </c:numCache>
            </c:numRef>
          </c:yVal>
          <c:smooth val="0"/>
          <c:extLst>
            <c:ext xmlns:c16="http://schemas.microsoft.com/office/drawing/2014/chart" uri="{C3380CC4-5D6E-409C-BE32-E72D297353CC}">
              <c16:uniqueId val="{00000002-3260-4F87-BAA7-436653D53F55}"/>
            </c:ext>
          </c:extLst>
        </c:ser>
        <c:ser>
          <c:idx val="13"/>
          <c:order val="3"/>
          <c:tx>
            <c:v>CF, Pipe 2</c:v>
          </c:tx>
          <c:spPr>
            <a:ln w="25400" cap="rnd">
              <a:noFill/>
              <a:round/>
            </a:ln>
            <a:effectLst/>
          </c:spPr>
          <c:marker>
            <c:symbol val="x"/>
            <c:size val="7"/>
            <c:spPr>
              <a:noFill/>
              <a:ln w="15875">
                <a:solidFill>
                  <a:srgbClr val="00B0F0"/>
                </a:solidFill>
              </a:ln>
              <a:effectLst/>
            </c:spPr>
          </c:marker>
          <c:xVal>
            <c:numRef>
              <c:f>m!$CP$107:$DT$107</c:f>
              <c:numCache>
                <c:formatCode>General</c:formatCode>
                <c:ptCount val="31"/>
                <c:pt idx="0">
                  <c:v>4.6311816641785202E-3</c:v>
                </c:pt>
                <c:pt idx="1">
                  <c:v>5.5776363738962251E-3</c:v>
                </c:pt>
                <c:pt idx="2">
                  <c:v>6.4670829828062217E-3</c:v>
                </c:pt>
                <c:pt idx="3">
                  <c:v>7.0613272851377381E-3</c:v>
                </c:pt>
                <c:pt idx="4">
                  <c:v>7.6979755836453266E-3</c:v>
                </c:pt>
                <c:pt idx="5">
                  <c:v>8.386027940386568E-3</c:v>
                </c:pt>
                <c:pt idx="6">
                  <c:v>8.8952662590700993E-3</c:v>
                </c:pt>
                <c:pt idx="7">
                  <c:v>9.1624622812556365E-3</c:v>
                </c:pt>
                <c:pt idx="8">
                  <c:v>9.5310203383064274E-3</c:v>
                </c:pt>
                <c:pt idx="9">
                  <c:v>1.0143764638366764E-2</c:v>
                </c:pt>
                <c:pt idx="10">
                  <c:v>1.0404097241952126E-2</c:v>
                </c:pt>
                <c:pt idx="11">
                  <c:v>1.081961507958484E-2</c:v>
                </c:pt>
                <c:pt idx="12">
                  <c:v>1.1010430920369412E-2</c:v>
                </c:pt>
                <c:pt idx="14">
                  <c:v>1.1069926300950588E-2</c:v>
                </c:pt>
                <c:pt idx="15">
                  <c:v>3.7956532219868013E-3</c:v>
                </c:pt>
                <c:pt idx="18">
                  <c:v>1.2244338732941827E-2</c:v>
                </c:pt>
                <c:pt idx="19">
                  <c:v>1.2810771280767751E-2</c:v>
                </c:pt>
                <c:pt idx="20">
                  <c:v>1.3331354216702739E-2</c:v>
                </c:pt>
                <c:pt idx="21">
                  <c:v>1.3817544639238011E-2</c:v>
                </c:pt>
                <c:pt idx="22">
                  <c:v>1.4200757176658937E-2</c:v>
                </c:pt>
                <c:pt idx="23">
                  <c:v>2.369305658514907E-3</c:v>
                </c:pt>
                <c:pt idx="24">
                  <c:v>3.5035118440151858E-3</c:v>
                </c:pt>
                <c:pt idx="25">
                  <c:v>2.8342945026540683E-3</c:v>
                </c:pt>
                <c:pt idx="26">
                  <c:v>4.1465364833477179E-3</c:v>
                </c:pt>
                <c:pt idx="27">
                  <c:v>3.2842175106732644E-3</c:v>
                </c:pt>
                <c:pt idx="28">
                  <c:v>1.2993808296228334E-2</c:v>
                </c:pt>
                <c:pt idx="29">
                  <c:v>1.3820677108730757E-2</c:v>
                </c:pt>
              </c:numCache>
            </c:numRef>
          </c:xVal>
          <c:yVal>
            <c:numRef>
              <c:f>m!$CP$95:$DT$95</c:f>
              <c:numCache>
                <c:formatCode>General</c:formatCode>
                <c:ptCount val="31"/>
                <c:pt idx="0">
                  <c:v>7.230064864592558</c:v>
                </c:pt>
                <c:pt idx="1">
                  <c:v>7.8432795970043863</c:v>
                </c:pt>
                <c:pt idx="2">
                  <c:v>7.1611992718238096</c:v>
                </c:pt>
                <c:pt idx="3">
                  <c:v>8.5921413030732001</c:v>
                </c:pt>
                <c:pt idx="4">
                  <c:v>6.661272134560023</c:v>
                </c:pt>
                <c:pt idx="5">
                  <c:v>7.7435399296450607</c:v>
                </c:pt>
                <c:pt idx="6">
                  <c:v>6.1997981508460969</c:v>
                </c:pt>
                <c:pt idx="7">
                  <c:v>7.7408089896434431</c:v>
                </c:pt>
                <c:pt idx="8">
                  <c:v>8.6625983848095451</c:v>
                </c:pt>
                <c:pt idx="9">
                  <c:v>6.621771797238047</c:v>
                </c:pt>
                <c:pt idx="10">
                  <c:v>6.9659330774762003</c:v>
                </c:pt>
                <c:pt idx="11">
                  <c:v>7.1453382407870949</c:v>
                </c:pt>
                <c:pt idx="12">
                  <c:v>8.4516911292205865</c:v>
                </c:pt>
                <c:pt idx="14">
                  <c:v>6.0778760902500926</c:v>
                </c:pt>
                <c:pt idx="15">
                  <c:v>8.6619524722903734</c:v>
                </c:pt>
                <c:pt idx="18">
                  <c:v>7.3483443733593532</c:v>
                </c:pt>
                <c:pt idx="19">
                  <c:v>8.0072612621981989</c:v>
                </c:pt>
                <c:pt idx="20">
                  <c:v>7.0758839302446521</c:v>
                </c:pt>
                <c:pt idx="21">
                  <c:v>6.8389367669751673</c:v>
                </c:pt>
                <c:pt idx="22">
                  <c:v>6.2031731981670291</c:v>
                </c:pt>
                <c:pt idx="23">
                  <c:v>9.608322876774281</c:v>
                </c:pt>
                <c:pt idx="24">
                  <c:v>8.2080991638713332</c:v>
                </c:pt>
                <c:pt idx="25">
                  <c:v>10.795030638909601</c:v>
                </c:pt>
                <c:pt idx="26">
                  <c:v>9.9406684789797772</c:v>
                </c:pt>
                <c:pt idx="27">
                  <c:v>7.6699085645929568</c:v>
                </c:pt>
                <c:pt idx="28">
                  <c:v>6.1233547438995259</c:v>
                </c:pt>
                <c:pt idx="29">
                  <c:v>6.1359189433264092</c:v>
                </c:pt>
              </c:numCache>
            </c:numRef>
          </c:yVal>
          <c:smooth val="0"/>
          <c:extLst>
            <c:ext xmlns:c16="http://schemas.microsoft.com/office/drawing/2014/chart" uri="{C3380CC4-5D6E-409C-BE32-E72D297353CC}">
              <c16:uniqueId val="{00000003-3260-4F87-BAA7-436653D53F55}"/>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m!$DU$107:$DX$107</c:f>
              <c:numCache>
                <c:formatCode>General</c:formatCode>
                <c:ptCount val="4"/>
                <c:pt idx="1">
                  <c:v>8.0987527751358382E-3</c:v>
                </c:pt>
              </c:numCache>
            </c:numRef>
          </c:xVal>
          <c:yVal>
            <c:numRef>
              <c:f>m!$DU$95:$DX$95</c:f>
              <c:numCache>
                <c:formatCode>General</c:formatCode>
                <c:ptCount val="4"/>
                <c:pt idx="1">
                  <c:v>11.627400337732656</c:v>
                </c:pt>
              </c:numCache>
            </c:numRef>
          </c:yVal>
          <c:smooth val="0"/>
          <c:extLst>
            <c:ext xmlns:c16="http://schemas.microsoft.com/office/drawing/2014/chart" uri="{C3380CC4-5D6E-409C-BE32-E72D297353CC}">
              <c16:uniqueId val="{00000004-3260-4F87-BAA7-436653D53F55}"/>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m!$DY$107:$EL$107</c:f>
              <c:numCache>
                <c:formatCode>General</c:formatCode>
                <c:ptCount val="14"/>
                <c:pt idx="0">
                  <c:v>4.211307355766419E-3</c:v>
                </c:pt>
                <c:pt idx="1">
                  <c:v>8.1613867113952132E-3</c:v>
                </c:pt>
                <c:pt idx="2">
                  <c:v>9.6499859800775849E-3</c:v>
                </c:pt>
                <c:pt idx="3">
                  <c:v>1.0800963694881708E-2</c:v>
                </c:pt>
                <c:pt idx="4">
                  <c:v>1.2124294254529511E-2</c:v>
                </c:pt>
                <c:pt idx="5">
                  <c:v>1.3135833375254076E-2</c:v>
                </c:pt>
                <c:pt idx="6">
                  <c:v>1.3898611001330189E-2</c:v>
                </c:pt>
                <c:pt idx="7">
                  <c:v>1.5168439159018521E-2</c:v>
                </c:pt>
                <c:pt idx="8">
                  <c:v>1.6653031613101173E-2</c:v>
                </c:pt>
                <c:pt idx="10">
                  <c:v>1.9674937619681778E-2</c:v>
                </c:pt>
                <c:pt idx="11">
                  <c:v>1.9661804570504877E-2</c:v>
                </c:pt>
                <c:pt idx="13">
                  <c:v>1.8079922128389665E-2</c:v>
                </c:pt>
              </c:numCache>
            </c:numRef>
          </c:xVal>
          <c:yVal>
            <c:numRef>
              <c:f>m!$DY$95:$EL$95</c:f>
              <c:numCache>
                <c:formatCode>General</c:formatCode>
                <c:ptCount val="14"/>
                <c:pt idx="0">
                  <c:v>11.841933921401584</c:v>
                </c:pt>
                <c:pt idx="1">
                  <c:v>10.112716420782542</c:v>
                </c:pt>
                <c:pt idx="2">
                  <c:v>10.75326981223963</c:v>
                </c:pt>
                <c:pt idx="3">
                  <c:v>12.593437950738654</c:v>
                </c:pt>
                <c:pt idx="4">
                  <c:v>9.9708079988168254</c:v>
                </c:pt>
                <c:pt idx="5">
                  <c:v>12.57159489291657</c:v>
                </c:pt>
                <c:pt idx="6">
                  <c:v>11.025393435074347</c:v>
                </c:pt>
                <c:pt idx="7">
                  <c:v>8.8729996804417208</c:v>
                </c:pt>
                <c:pt idx="8">
                  <c:v>12.254596368878824</c:v>
                </c:pt>
                <c:pt idx="10">
                  <c:v>9.2304269063872528</c:v>
                </c:pt>
                <c:pt idx="11">
                  <c:v>10.128045629794443</c:v>
                </c:pt>
                <c:pt idx="13">
                  <c:v>8.7481293899266319</c:v>
                </c:pt>
              </c:numCache>
            </c:numRef>
          </c:yVal>
          <c:smooth val="0"/>
          <c:extLst>
            <c:ext xmlns:c16="http://schemas.microsoft.com/office/drawing/2014/chart" uri="{C3380CC4-5D6E-409C-BE32-E72D297353CC}">
              <c16:uniqueId val="{00000005-3260-4F87-BAA7-436653D53F55}"/>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m!$AF$107:$AO$107</c:f>
              <c:numCache>
                <c:formatCode>General</c:formatCode>
                <c:ptCount val="10"/>
                <c:pt idx="6">
                  <c:v>7.4428904399396235E-3</c:v>
                </c:pt>
                <c:pt idx="7">
                  <c:v>8.012894599640814E-3</c:v>
                </c:pt>
                <c:pt idx="8">
                  <c:v>8.5065696922419758E-3</c:v>
                </c:pt>
                <c:pt idx="9">
                  <c:v>9.0366063693267384E-3</c:v>
                </c:pt>
              </c:numCache>
            </c:numRef>
          </c:xVal>
          <c:yVal>
            <c:numRef>
              <c:f>m!$AF$96:$AO$96</c:f>
              <c:numCache>
                <c:formatCode>General</c:formatCode>
                <c:ptCount val="10"/>
                <c:pt idx="6">
                  <c:v>4.6527598235675249</c:v>
                </c:pt>
                <c:pt idx="7">
                  <c:v>4.2805274655235781</c:v>
                </c:pt>
                <c:pt idx="8">
                  <c:v>3.4393569277814708</c:v>
                </c:pt>
                <c:pt idx="9">
                  <c:v>3.6129037340831314</c:v>
                </c:pt>
              </c:numCache>
            </c:numRef>
          </c:yVal>
          <c:smooth val="0"/>
          <c:extLst>
            <c:ext xmlns:c16="http://schemas.microsoft.com/office/drawing/2014/chart" uri="{C3380CC4-5D6E-409C-BE32-E72D297353CC}">
              <c16:uniqueId val="{00000006-3260-4F87-BAA7-436653D53F55}"/>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m!$AP$107:$BL$107</c:f>
              <c:numCache>
                <c:formatCode>General</c:formatCode>
                <c:ptCount val="23"/>
                <c:pt idx="0">
                  <c:v>2.9632587015489009E-3</c:v>
                </c:pt>
                <c:pt idx="1">
                  <c:v>4.1493467139350334E-3</c:v>
                </c:pt>
                <c:pt idx="2">
                  <c:v>5.9326517274453901E-3</c:v>
                </c:pt>
                <c:pt idx="3">
                  <c:v>7.5058967996163876E-3</c:v>
                </c:pt>
                <c:pt idx="4">
                  <c:v>8.9327323005535929E-3</c:v>
                </c:pt>
                <c:pt idx="6">
                  <c:v>1.1189550570792937E-2</c:v>
                </c:pt>
                <c:pt idx="12">
                  <c:v>1.5615856962144613E-2</c:v>
                </c:pt>
                <c:pt idx="19">
                  <c:v>3.6170462482760643E-3</c:v>
                </c:pt>
                <c:pt idx="20">
                  <c:v>5.1072206143773719E-3</c:v>
                </c:pt>
                <c:pt idx="21">
                  <c:v>4.2089838455053024E-3</c:v>
                </c:pt>
              </c:numCache>
            </c:numRef>
          </c:xVal>
          <c:yVal>
            <c:numRef>
              <c:f>m!$AP$96:$BL$96</c:f>
              <c:numCache>
                <c:formatCode>General</c:formatCode>
                <c:ptCount val="23"/>
                <c:pt idx="0">
                  <c:v>5.4755784611121161</c:v>
                </c:pt>
                <c:pt idx="1">
                  <c:v>5.1682826595532747</c:v>
                </c:pt>
                <c:pt idx="2">
                  <c:v>3.0985995787371445</c:v>
                </c:pt>
                <c:pt idx="3">
                  <c:v>3.134879815279314</c:v>
                </c:pt>
                <c:pt idx="4">
                  <c:v>3.0033011206407316</c:v>
                </c:pt>
                <c:pt idx="6">
                  <c:v>2.9529997740314693</c:v>
                </c:pt>
                <c:pt idx="12">
                  <c:v>2.536745078640724</c:v>
                </c:pt>
                <c:pt idx="19">
                  <c:v>5.2461545091174413</c:v>
                </c:pt>
                <c:pt idx="20">
                  <c:v>3.8667689214808134</c:v>
                </c:pt>
                <c:pt idx="21">
                  <c:v>5.2126574434788768</c:v>
                </c:pt>
              </c:numCache>
            </c:numRef>
          </c:yVal>
          <c:smooth val="0"/>
          <c:extLst>
            <c:ext xmlns:c16="http://schemas.microsoft.com/office/drawing/2014/chart" uri="{C3380CC4-5D6E-409C-BE32-E72D297353CC}">
              <c16:uniqueId val="{00000007-3260-4F87-BAA7-436653D53F55}"/>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m!$BM$107:$CO$107</c:f>
              <c:numCache>
                <c:formatCode>General</c:formatCode>
                <c:ptCount val="29"/>
                <c:pt idx="0">
                  <c:v>5.4763639576896027E-3</c:v>
                </c:pt>
                <c:pt idx="1">
                  <c:v>8.1118427705860856E-3</c:v>
                </c:pt>
                <c:pt idx="3">
                  <c:v>4.3651055756374702E-3</c:v>
                </c:pt>
                <c:pt idx="4">
                  <c:v>5.1195549706922246E-3</c:v>
                </c:pt>
                <c:pt idx="5">
                  <c:v>5.9473779361733561E-3</c:v>
                </c:pt>
                <c:pt idx="6">
                  <c:v>6.51554488269306E-3</c:v>
                </c:pt>
                <c:pt idx="7">
                  <c:v>7.0299875843062177E-3</c:v>
                </c:pt>
                <c:pt idx="8">
                  <c:v>7.5319367201784919E-3</c:v>
                </c:pt>
                <c:pt idx="9">
                  <c:v>8.0861726599552146E-3</c:v>
                </c:pt>
                <c:pt idx="10">
                  <c:v>8.8782269428514127E-3</c:v>
                </c:pt>
                <c:pt idx="11">
                  <c:v>9.2318575837916847E-3</c:v>
                </c:pt>
                <c:pt idx="12">
                  <c:v>9.4069893657103363E-3</c:v>
                </c:pt>
                <c:pt idx="13">
                  <c:v>4.4739695214928597E-3</c:v>
                </c:pt>
                <c:pt idx="14">
                  <c:v>7.5465545144570295E-3</c:v>
                </c:pt>
                <c:pt idx="15">
                  <c:v>7.575471195660711E-3</c:v>
                </c:pt>
                <c:pt idx="16">
                  <c:v>9.4663682813768291E-3</c:v>
                </c:pt>
                <c:pt idx="17">
                  <c:v>9.7662401438041949E-3</c:v>
                </c:pt>
                <c:pt idx="18">
                  <c:v>1.0161882512882889E-2</c:v>
                </c:pt>
                <c:pt idx="19">
                  <c:v>1.053465059062641E-2</c:v>
                </c:pt>
              </c:numCache>
            </c:numRef>
          </c:xVal>
          <c:yVal>
            <c:numRef>
              <c:f>m!$BM$96:$CO$96</c:f>
              <c:numCache>
                <c:formatCode>General</c:formatCode>
                <c:ptCount val="29"/>
                <c:pt idx="0">
                  <c:v>7.7033235890944756</c:v>
                </c:pt>
                <c:pt idx="1">
                  <c:v>9.1444916587946974</c:v>
                </c:pt>
                <c:pt idx="3">
                  <c:v>8.7140648971788437</c:v>
                </c:pt>
                <c:pt idx="4">
                  <c:v>12.927157671770168</c:v>
                </c:pt>
                <c:pt idx="5">
                  <c:v>8.3600761384121469</c:v>
                </c:pt>
                <c:pt idx="6">
                  <c:v>8.9999781210833945</c:v>
                </c:pt>
                <c:pt idx="7">
                  <c:v>11.710147435168425</c:v>
                </c:pt>
                <c:pt idx="8">
                  <c:v>9.6604016799591612</c:v>
                </c:pt>
                <c:pt idx="9">
                  <c:v>8.9844518836473455</c:v>
                </c:pt>
                <c:pt idx="10">
                  <c:v>8.1478940601600911</c:v>
                </c:pt>
                <c:pt idx="11">
                  <c:v>7.9194530647955013</c:v>
                </c:pt>
                <c:pt idx="12">
                  <c:v>8.4688373486197897</c:v>
                </c:pt>
                <c:pt idx="13">
                  <c:v>8.1654266073084845</c:v>
                </c:pt>
                <c:pt idx="14">
                  <c:v>10.157317419596724</c:v>
                </c:pt>
                <c:pt idx="15">
                  <c:v>8.4459765120883326</c:v>
                </c:pt>
                <c:pt idx="16">
                  <c:v>8.8566927659923493</c:v>
                </c:pt>
                <c:pt idx="17">
                  <c:v>7.9864493524762779</c:v>
                </c:pt>
                <c:pt idx="18">
                  <c:v>7.5929751024784267</c:v>
                </c:pt>
                <c:pt idx="19">
                  <c:v>7.0417931291632536</c:v>
                </c:pt>
              </c:numCache>
            </c:numRef>
          </c:yVal>
          <c:smooth val="0"/>
          <c:extLst>
            <c:ext xmlns:c16="http://schemas.microsoft.com/office/drawing/2014/chart" uri="{C3380CC4-5D6E-409C-BE32-E72D297353CC}">
              <c16:uniqueId val="{00000008-3260-4F87-BAA7-436653D53F55}"/>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m!$CP$107:$DT$107</c:f>
              <c:numCache>
                <c:formatCode>General</c:formatCode>
                <c:ptCount val="31"/>
                <c:pt idx="0">
                  <c:v>4.6311816641785202E-3</c:v>
                </c:pt>
                <c:pt idx="1">
                  <c:v>5.5776363738962251E-3</c:v>
                </c:pt>
                <c:pt idx="2">
                  <c:v>6.4670829828062217E-3</c:v>
                </c:pt>
                <c:pt idx="3">
                  <c:v>7.0613272851377381E-3</c:v>
                </c:pt>
                <c:pt idx="4">
                  <c:v>7.6979755836453266E-3</c:v>
                </c:pt>
                <c:pt idx="5">
                  <c:v>8.386027940386568E-3</c:v>
                </c:pt>
                <c:pt idx="6">
                  <c:v>8.8952662590700993E-3</c:v>
                </c:pt>
                <c:pt idx="7">
                  <c:v>9.1624622812556365E-3</c:v>
                </c:pt>
                <c:pt idx="8">
                  <c:v>9.5310203383064274E-3</c:v>
                </c:pt>
                <c:pt idx="9">
                  <c:v>1.0143764638366764E-2</c:v>
                </c:pt>
                <c:pt idx="10">
                  <c:v>1.0404097241952126E-2</c:v>
                </c:pt>
                <c:pt idx="11">
                  <c:v>1.081961507958484E-2</c:v>
                </c:pt>
                <c:pt idx="12">
                  <c:v>1.1010430920369412E-2</c:v>
                </c:pt>
                <c:pt idx="14">
                  <c:v>1.1069926300950588E-2</c:v>
                </c:pt>
                <c:pt idx="15">
                  <c:v>3.7956532219868013E-3</c:v>
                </c:pt>
                <c:pt idx="18">
                  <c:v>1.2244338732941827E-2</c:v>
                </c:pt>
                <c:pt idx="19">
                  <c:v>1.2810771280767751E-2</c:v>
                </c:pt>
                <c:pt idx="20">
                  <c:v>1.3331354216702739E-2</c:v>
                </c:pt>
                <c:pt idx="21">
                  <c:v>1.3817544639238011E-2</c:v>
                </c:pt>
                <c:pt idx="22">
                  <c:v>1.4200757176658937E-2</c:v>
                </c:pt>
                <c:pt idx="23">
                  <c:v>2.369305658514907E-3</c:v>
                </c:pt>
                <c:pt idx="24">
                  <c:v>3.5035118440151858E-3</c:v>
                </c:pt>
                <c:pt idx="25">
                  <c:v>2.8342945026540683E-3</c:v>
                </c:pt>
                <c:pt idx="26">
                  <c:v>4.1465364833477179E-3</c:v>
                </c:pt>
                <c:pt idx="27">
                  <c:v>3.2842175106732644E-3</c:v>
                </c:pt>
                <c:pt idx="28">
                  <c:v>1.2993808296228334E-2</c:v>
                </c:pt>
                <c:pt idx="29">
                  <c:v>1.3820677108730757E-2</c:v>
                </c:pt>
              </c:numCache>
            </c:numRef>
          </c:xVal>
          <c:yVal>
            <c:numRef>
              <c:f>m!$CP$96:$DT$96</c:f>
              <c:numCache>
                <c:formatCode>General</c:formatCode>
                <c:ptCount val="31"/>
                <c:pt idx="0">
                  <c:v>6.6249810457925706</c:v>
                </c:pt>
                <c:pt idx="1">
                  <c:v>5.9447274054537775</c:v>
                </c:pt>
                <c:pt idx="2">
                  <c:v>4.3790295625014277</c:v>
                </c:pt>
                <c:pt idx="3">
                  <c:v>7.0215974595106143</c:v>
                </c:pt>
                <c:pt idx="4">
                  <c:v>5.4768436761823818</c:v>
                </c:pt>
                <c:pt idx="5">
                  <c:v>4.8822056936446092</c:v>
                </c:pt>
                <c:pt idx="6">
                  <c:v>4.4672288224686083</c:v>
                </c:pt>
                <c:pt idx="7">
                  <c:v>6.5369518717044457</c:v>
                </c:pt>
                <c:pt idx="8">
                  <c:v>7.9590472097189648</c:v>
                </c:pt>
                <c:pt idx="9">
                  <c:v>5.4878070883378705</c:v>
                </c:pt>
                <c:pt idx="10">
                  <c:v>6.5026988056572304</c:v>
                </c:pt>
                <c:pt idx="11">
                  <c:v>6.329848379965453</c:v>
                </c:pt>
                <c:pt idx="12">
                  <c:v>6.2013253457317621</c:v>
                </c:pt>
                <c:pt idx="14">
                  <c:v>5.2492619268133645</c:v>
                </c:pt>
                <c:pt idx="15">
                  <c:v>6.3209002515631276</c:v>
                </c:pt>
                <c:pt idx="18">
                  <c:v>6.4868297836002924</c:v>
                </c:pt>
                <c:pt idx="19">
                  <c:v>5.827620282954654</c:v>
                </c:pt>
                <c:pt idx="20">
                  <c:v>7.0663143302767422</c:v>
                </c:pt>
                <c:pt idx="21">
                  <c:v>5.9628619384453367</c:v>
                </c:pt>
                <c:pt idx="22">
                  <c:v>5.5226853762264438</c:v>
                </c:pt>
                <c:pt idx="23">
                  <c:v>9.7019903060697743</c:v>
                </c:pt>
                <c:pt idx="24">
                  <c:v>7.6053639768993335</c:v>
                </c:pt>
                <c:pt idx="25">
                  <c:v>7.5584542426748964</c:v>
                </c:pt>
                <c:pt idx="26">
                  <c:v>6.9427008530083283</c:v>
                </c:pt>
                <c:pt idx="27">
                  <c:v>6.4055240885023839</c:v>
                </c:pt>
                <c:pt idx="28">
                  <c:v>5.9595789339150782</c:v>
                </c:pt>
                <c:pt idx="29">
                  <c:v>5.8625018670641422</c:v>
                </c:pt>
              </c:numCache>
            </c:numRef>
          </c:yVal>
          <c:smooth val="0"/>
          <c:extLst>
            <c:ext xmlns:c16="http://schemas.microsoft.com/office/drawing/2014/chart" uri="{C3380CC4-5D6E-409C-BE32-E72D297353CC}">
              <c16:uniqueId val="{00000009-3260-4F87-BAA7-436653D53F55}"/>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m!$DU$107:$DX$107</c:f>
              <c:numCache>
                <c:formatCode>General</c:formatCode>
                <c:ptCount val="4"/>
                <c:pt idx="1">
                  <c:v>8.0987527751358382E-3</c:v>
                </c:pt>
              </c:numCache>
            </c:numRef>
          </c:xVal>
          <c:yVal>
            <c:numRef>
              <c:f>m!$DU$96:$DX$96</c:f>
              <c:numCache>
                <c:formatCode>General</c:formatCode>
                <c:ptCount val="4"/>
                <c:pt idx="1">
                  <c:v>8.5837852954236631</c:v>
                </c:pt>
              </c:numCache>
            </c:numRef>
          </c:yVal>
          <c:smooth val="0"/>
          <c:extLst>
            <c:ext xmlns:c16="http://schemas.microsoft.com/office/drawing/2014/chart" uri="{C3380CC4-5D6E-409C-BE32-E72D297353CC}">
              <c16:uniqueId val="{0000000A-3260-4F87-BAA7-436653D53F55}"/>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m!$DY$107:$EL$107</c:f>
              <c:numCache>
                <c:formatCode>General</c:formatCode>
                <c:ptCount val="14"/>
                <c:pt idx="0">
                  <c:v>4.211307355766419E-3</c:v>
                </c:pt>
                <c:pt idx="1">
                  <c:v>8.1613867113952132E-3</c:v>
                </c:pt>
                <c:pt idx="2">
                  <c:v>9.6499859800775849E-3</c:v>
                </c:pt>
                <c:pt idx="3">
                  <c:v>1.0800963694881708E-2</c:v>
                </c:pt>
                <c:pt idx="4">
                  <c:v>1.2124294254529511E-2</c:v>
                </c:pt>
                <c:pt idx="5">
                  <c:v>1.3135833375254076E-2</c:v>
                </c:pt>
                <c:pt idx="6">
                  <c:v>1.3898611001330189E-2</c:v>
                </c:pt>
                <c:pt idx="7">
                  <c:v>1.5168439159018521E-2</c:v>
                </c:pt>
                <c:pt idx="8">
                  <c:v>1.6653031613101173E-2</c:v>
                </c:pt>
                <c:pt idx="10">
                  <c:v>1.9674937619681778E-2</c:v>
                </c:pt>
                <c:pt idx="11">
                  <c:v>1.9661804570504877E-2</c:v>
                </c:pt>
                <c:pt idx="13">
                  <c:v>1.8079922128389665E-2</c:v>
                </c:pt>
              </c:numCache>
            </c:numRef>
          </c:xVal>
          <c:yVal>
            <c:numRef>
              <c:f>m!$DY$96:$EL$96</c:f>
              <c:numCache>
                <c:formatCode>General</c:formatCode>
                <c:ptCount val="14"/>
                <c:pt idx="0">
                  <c:v>8.0736939293288259</c:v>
                </c:pt>
                <c:pt idx="1">
                  <c:v>8.5723204770723118</c:v>
                </c:pt>
                <c:pt idx="2">
                  <c:v>9.3688715981853772</c:v>
                </c:pt>
                <c:pt idx="3">
                  <c:v>11.808645757253798</c:v>
                </c:pt>
                <c:pt idx="4">
                  <c:v>9.3027335683988124</c:v>
                </c:pt>
                <c:pt idx="5">
                  <c:v>8.8407959437509973</c:v>
                </c:pt>
                <c:pt idx="6">
                  <c:v>9.4797698241348378</c:v>
                </c:pt>
                <c:pt idx="7">
                  <c:v>7.8622566156607085</c:v>
                </c:pt>
                <c:pt idx="8">
                  <c:v>9.6176111415033159</c:v>
                </c:pt>
                <c:pt idx="10">
                  <c:v>7.4199267899654808</c:v>
                </c:pt>
                <c:pt idx="11">
                  <c:v>7.9053481326688049</c:v>
                </c:pt>
                <c:pt idx="13">
                  <c:v>7.3530728474436851</c:v>
                </c:pt>
              </c:numCache>
            </c:numRef>
          </c:yVal>
          <c:smooth val="0"/>
          <c:extLst>
            <c:ext xmlns:c16="http://schemas.microsoft.com/office/drawing/2014/chart" uri="{C3380CC4-5D6E-409C-BE32-E72D297353CC}">
              <c16:uniqueId val="{0000000B-3260-4F87-BAA7-436653D53F55}"/>
            </c:ext>
          </c:extLst>
        </c:ser>
        <c:dLbls>
          <c:showLegendKey val="0"/>
          <c:showVal val="0"/>
          <c:showCatName val="0"/>
          <c:showSerName val="0"/>
          <c:showPercent val="0"/>
          <c:showBubbleSize val="0"/>
        </c:dLbls>
        <c:axId val="624399680"/>
        <c:axId val="624400008"/>
        <c:extLst>
          <c:ext xmlns:c15="http://schemas.microsoft.com/office/drawing/2012/chart" uri="{02D57815-91ED-43cb-92C2-25804820EDAC}">
            <c15:filteredScatterSeries>
              <c15:ser>
                <c:idx val="1"/>
                <c:order val="12"/>
                <c:tx>
                  <c:v>In Line, OL</c:v>
                </c:tx>
                <c:spPr>
                  <a:ln w="25400" cap="rnd">
                    <a:noFill/>
                    <a:round/>
                  </a:ln>
                  <a:effectLst/>
                </c:spPr>
                <c:marker>
                  <c:symbol val="circle"/>
                  <c:size val="7"/>
                  <c:spPr>
                    <a:noFill/>
                    <a:ln w="15875">
                      <a:solidFill>
                        <a:schemeClr val="tx1"/>
                      </a:solidFill>
                    </a:ln>
                    <a:effectLst/>
                  </c:spPr>
                </c:marker>
                <c:xVal>
                  <c:numRef>
                    <c:extLst>
                      <c:ext uri="{02D57815-91ED-43cb-92C2-25804820EDAC}">
                        <c15:formulaRef>
                          <c15:sqref>m!$AF$86:$AO$86</c15:sqref>
                        </c15:formulaRef>
                      </c:ext>
                    </c:extLst>
                    <c:numCache>
                      <c:formatCode>General</c:formatCode>
                      <c:ptCount val="10"/>
                      <c:pt idx="6">
                        <c:v>2.60569650261762</c:v>
                      </c:pt>
                      <c:pt idx="7">
                        <c:v>2.8052504067622763</c:v>
                      </c:pt>
                      <c:pt idx="8">
                        <c:v>2.9780821140943421</c:v>
                      </c:pt>
                      <c:pt idx="9">
                        <c:v>3.163643721763262</c:v>
                      </c:pt>
                    </c:numCache>
                  </c:numRef>
                </c:xVal>
                <c:yVal>
                  <c:numRef>
                    <c:extLst>
                      <c:ext uri="{02D57815-91ED-43cb-92C2-25804820EDAC}">
                        <c15:formulaRef>
                          <c15:sqref>m!$AF$91:$AO$91</c15:sqref>
                        </c15:formulaRef>
                      </c:ext>
                    </c:extLst>
                    <c:numCache>
                      <c:formatCode>General</c:formatCode>
                      <c:ptCount val="10"/>
                      <c:pt idx="6">
                        <c:v>3.9502776072221706</c:v>
                      </c:pt>
                      <c:pt idx="7">
                        <c:v>3.8204481933278442</c:v>
                      </c:pt>
                      <c:pt idx="8">
                        <c:v>2.8990463053331168</c:v>
                      </c:pt>
                      <c:pt idx="9">
                        <c:v>3.0460998559525874</c:v>
                      </c:pt>
                    </c:numCache>
                  </c:numRef>
                </c:yVal>
                <c:smooth val="0"/>
                <c:extLst>
                  <c:ext xmlns:c16="http://schemas.microsoft.com/office/drawing/2014/chart" uri="{C3380CC4-5D6E-409C-BE32-E72D297353CC}">
                    <c16:uniqueId val="{0000000C-3260-4F87-BAA7-436653D53F55}"/>
                  </c:ext>
                </c:extLst>
              </c15:ser>
            </c15:filteredScatterSeries>
            <c15:filteredScatterSeries>
              <c15:ser>
                <c:idx val="2"/>
                <c:order val="13"/>
                <c:tx>
                  <c:v>In Line, EM</c:v>
                </c:tx>
                <c:spPr>
                  <a:ln w="25400" cap="rnd">
                    <a:noFill/>
                    <a:round/>
                  </a:ln>
                  <a:effectLst/>
                </c:spPr>
                <c:marker>
                  <c:symbol val="circle"/>
                  <c:size val="7"/>
                  <c:spPr>
                    <a:noFill/>
                    <a:ln w="15875">
                      <a:solidFill>
                        <a:schemeClr val="accent3"/>
                      </a:solidFill>
                    </a:ln>
                    <a:effectLst/>
                  </c:spPr>
                </c:marker>
                <c:xVal>
                  <c:numRef>
                    <c:extLst xmlns:c15="http://schemas.microsoft.com/office/drawing/2012/chart">
                      <c:ext xmlns:c15="http://schemas.microsoft.com/office/drawing/2012/chart" uri="{02D57815-91ED-43cb-92C2-25804820EDAC}">
                        <c15:formulaRef>
                          <c15:sqref>m!$AP$86:$BL$86</c15:sqref>
                        </c15:formulaRef>
                      </c:ext>
                    </c:extLst>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extLst xmlns:c15="http://schemas.microsoft.com/office/drawing/2012/chart">
                      <c:ext xmlns:c15="http://schemas.microsoft.com/office/drawing/2012/chart" uri="{02D57815-91ED-43cb-92C2-25804820EDAC}">
                        <c15:formulaRef>
                          <c15:sqref>m!$AP$91:$BL$91</c15:sqref>
                        </c15:formulaRef>
                      </c:ext>
                    </c:extLst>
                    <c:numCache>
                      <c:formatCode>General</c:formatCode>
                      <c:ptCount val="23"/>
                      <c:pt idx="0">
                        <c:v>3.9015319384578984</c:v>
                      </c:pt>
                      <c:pt idx="1">
                        <c:v>4.0324241551015083</c:v>
                      </c:pt>
                      <c:pt idx="2">
                        <c:v>2.4087539710783048</c:v>
                      </c:pt>
                      <c:pt idx="3">
                        <c:v>2.5988468550675954</c:v>
                      </c:pt>
                      <c:pt idx="4">
                        <c:v>2.4975377660733624</c:v>
                      </c:pt>
                      <c:pt idx="6">
                        <c:v>2.4940490859525726</c:v>
                      </c:pt>
                      <c:pt idx="12">
                        <c:v>2.077389993099553</c:v>
                      </c:pt>
                      <c:pt idx="19">
                        <c:v>3.887685418105959</c:v>
                      </c:pt>
                      <c:pt idx="20">
                        <c:v>3.0668865507265997</c:v>
                      </c:pt>
                      <c:pt idx="21">
                        <c:v>4.0491103337392174</c:v>
                      </c:pt>
                    </c:numCache>
                  </c:numRef>
                </c:yVal>
                <c:smooth val="0"/>
                <c:extLst xmlns:c15="http://schemas.microsoft.com/office/drawing/2012/chart">
                  <c:ext xmlns:c16="http://schemas.microsoft.com/office/drawing/2014/chart" uri="{C3380CC4-5D6E-409C-BE32-E72D297353CC}">
                    <c16:uniqueId val="{0000000D-3260-4F87-BAA7-436653D53F55}"/>
                  </c:ext>
                </c:extLst>
              </c15:ser>
            </c15:filteredScatterSeries>
            <c15:filteredScatterSeries>
              <c15:ser>
                <c:idx val="3"/>
                <c:order val="14"/>
                <c:tx>
                  <c:v>In Line, Shell</c:v>
                </c:tx>
                <c:spPr>
                  <a:ln w="25400" cap="rnd">
                    <a:noFill/>
                    <a:round/>
                  </a:ln>
                  <a:effectLst/>
                </c:spPr>
                <c:marker>
                  <c:symbol val="circle"/>
                  <c:size val="7"/>
                  <c:spPr>
                    <a:noFill/>
                    <a:ln w="15875">
                      <a:solidFill>
                        <a:schemeClr val="accent2"/>
                      </a:solidFill>
                    </a:ln>
                    <a:effectLst/>
                  </c:spPr>
                </c:marker>
                <c:xVal>
                  <c:numRef>
                    <c:extLst xmlns:c15="http://schemas.microsoft.com/office/drawing/2012/chart">
                      <c:ext xmlns:c15="http://schemas.microsoft.com/office/drawing/2012/chart" uri="{02D57815-91ED-43cb-92C2-25804820EDAC}">
                        <c15:formulaRef>
                          <c15:sqref>m!$DU$86:$DX$86</c15:sqref>
                        </c15:formulaRef>
                      </c:ext>
                    </c:extLst>
                    <c:numCache>
                      <c:formatCode>General</c:formatCode>
                      <c:ptCount val="4"/>
                      <c:pt idx="1">
                        <c:v>3.8469075681895233</c:v>
                      </c:pt>
                    </c:numCache>
                  </c:numRef>
                </c:xVal>
                <c:yVal>
                  <c:numRef>
                    <c:extLst xmlns:c15="http://schemas.microsoft.com/office/drawing/2012/chart">
                      <c:ext xmlns:c15="http://schemas.microsoft.com/office/drawing/2012/chart" uri="{02D57815-91ED-43cb-92C2-25804820EDAC}">
                        <c15:formulaRef>
                          <c15:sqref>m!$DU$91:$DX$91</c15:sqref>
                        </c15:formulaRef>
                      </c:ext>
                    </c:extLst>
                    <c:numCache>
                      <c:formatCode>General</c:formatCode>
                      <c:ptCount val="4"/>
                      <c:pt idx="1">
                        <c:v>5.9805420003862961</c:v>
                      </c:pt>
                    </c:numCache>
                  </c:numRef>
                </c:yVal>
                <c:smooth val="0"/>
                <c:extLst xmlns:c15="http://schemas.microsoft.com/office/drawing/2012/chart">
                  <c:ext xmlns:c16="http://schemas.microsoft.com/office/drawing/2014/chart" uri="{C3380CC4-5D6E-409C-BE32-E72D297353CC}">
                    <c16:uniqueId val="{0000000E-3260-4F87-BAA7-436653D53F55}"/>
                  </c:ext>
                </c:extLst>
              </c15:ser>
            </c15:filteredScatterSeries>
          </c:ext>
        </c:extLst>
      </c:scatterChart>
      <c:valAx>
        <c:axId val="624399680"/>
        <c:scaling>
          <c:logBase val="10"/>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Hydraulic Diameter / Strouhal Half Wavelength,  D/L</a:t>
                </a:r>
                <a:r>
                  <a:rPr lang="en-US" sz="1400" b="0" i="0" u="none" strike="noStrike" baseline="-25000">
                    <a:effectLst/>
                  </a:rPr>
                  <a:t>st</a:t>
                </a:r>
                <a:r>
                  <a:rPr lang="en-US" sz="1400" b="0" i="0" u="none" strike="noStrike" baseline="0">
                    <a:effectLst/>
                  </a:rPr>
                  <a:t> </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baseline="0">
                    <a:effectLst/>
                  </a:rPr>
                  <a:t>Normalized Fatigue-Equivalent Strain Amplitude,   ϵ̃</a:t>
                </a:r>
                <a:r>
                  <a:rPr lang="en-US" sz="1400" b="0" i="0" baseline="-25000">
                    <a:effectLst/>
                  </a:rPr>
                  <a:t>e</a:t>
                </a:r>
                <a:r>
                  <a:rPr lang="en-US" sz="1400" b="0" i="0" baseline="0">
                    <a:effectLst/>
                  </a:rPr>
                  <a:t> = ϵ</a:t>
                </a:r>
                <a:r>
                  <a:rPr lang="en-US" sz="1400" b="0" i="0" baseline="-25000">
                    <a:effectLst/>
                  </a:rPr>
                  <a:t>e</a:t>
                </a:r>
                <a:r>
                  <a:rPr lang="en-US" sz="1400" b="0" i="0" baseline="0">
                    <a:effectLst/>
                  </a:rPr>
                  <a:t>/(R</a:t>
                </a:r>
                <a:r>
                  <a:rPr lang="en-US" sz="1400" b="0" i="0" baseline="-25000">
                    <a:effectLst/>
                  </a:rPr>
                  <a:t>ϵ</a:t>
                </a:r>
                <a:r>
                  <a:rPr lang="en-US" sz="1400" b="0" i="0" baseline="0">
                    <a:effectLst/>
                  </a:rPr>
                  <a:t>D/L</a:t>
                </a:r>
                <a:r>
                  <a:rPr lang="en-US" sz="1400" b="0" i="0" baseline="-25000">
                    <a:effectLst/>
                  </a:rPr>
                  <a:t>st</a:t>
                </a:r>
                <a:r>
                  <a:rPr lang="en-US" sz="1400" b="0" i="0" baseline="30000">
                    <a:effectLst/>
                  </a:rPr>
                  <a:t>2</a:t>
                </a:r>
                <a:r>
                  <a:rPr lang="en-US" sz="1400" b="0" i="0" baseline="0">
                    <a:effectLst/>
                  </a:rPr>
                  <a:t>)</a:t>
                </a:r>
                <a:endParaRPr lang="en-US" sz="1400">
                  <a:effectLst/>
                </a:endParaRPr>
              </a:p>
            </c:rich>
          </c:tx>
          <c:layout>
            <c:manualLayout>
              <c:xMode val="edge"/>
              <c:yMode val="edge"/>
              <c:x val="1.2786980528916013E-2"/>
              <c:y val="5.1139526362623478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834686858562907E-2"/>
          <c:y val="2.4349477682811017E-2"/>
          <c:w val="0.69193106746573863"/>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numRef>
          </c:xVal>
          <c:yVal>
            <c:numRef>
              <c:f>m!$AF$90:$AO$90</c:f>
              <c:numCache>
                <c:formatCode>General</c:formatCode>
                <c:ptCount val="10"/>
                <c:pt idx="6">
                  <c:v>5.2324625570429388</c:v>
                </c:pt>
                <c:pt idx="7">
                  <c:v>5.3055824072041231</c:v>
                </c:pt>
                <c:pt idx="8">
                  <c:v>4.655447978393739</c:v>
                </c:pt>
                <c:pt idx="9">
                  <c:v>3.9755921812321118</c:v>
                </c:pt>
              </c:numCache>
            </c:numRef>
          </c:yVal>
          <c:smooth val="0"/>
          <c:extLst>
            <c:ext xmlns:c16="http://schemas.microsoft.com/office/drawing/2014/chart" uri="{C3380CC4-5D6E-409C-BE32-E72D297353CC}">
              <c16:uniqueId val="{00000000-50B8-45EC-9588-8854EF692759}"/>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f>m!$AP$90:$BL$90</c:f>
              <c:numCache>
                <c:formatCode>General</c:formatCode>
                <c:ptCount val="23"/>
                <c:pt idx="0">
                  <c:v>4.062120186477582</c:v>
                </c:pt>
                <c:pt idx="1">
                  <c:v>3.1506997473427294</c:v>
                </c:pt>
                <c:pt idx="2">
                  <c:v>4.1786954227753803</c:v>
                </c:pt>
                <c:pt idx="3">
                  <c:v>4.4375395113080085</c:v>
                </c:pt>
                <c:pt idx="4">
                  <c:v>5.0795365493314559</c:v>
                </c:pt>
                <c:pt idx="6">
                  <c:v>3.7917125475365436</c:v>
                </c:pt>
                <c:pt idx="12">
                  <c:v>4.1255132431082453</c:v>
                </c:pt>
                <c:pt idx="19">
                  <c:v>3.4774946615159275</c:v>
                </c:pt>
                <c:pt idx="20">
                  <c:v>5.0096376560329396</c:v>
                </c:pt>
                <c:pt idx="21">
                  <c:v>3.3211441120706886</c:v>
                </c:pt>
              </c:numCache>
            </c:numRef>
          </c:yVal>
          <c:smooth val="0"/>
          <c:extLst>
            <c:ext xmlns:c16="http://schemas.microsoft.com/office/drawing/2014/chart" uri="{C3380CC4-5D6E-409C-BE32-E72D297353CC}">
              <c16:uniqueId val="{00000004-50B8-45EC-9588-8854EF692759}"/>
            </c:ext>
          </c:extLst>
        </c:ser>
        <c:ser>
          <c:idx val="11"/>
          <c:order val="2"/>
          <c:tx>
            <c:v>CF, Pipe 1</c:v>
          </c:tx>
          <c:spPr>
            <a:ln w="25400" cap="rnd">
              <a:noFill/>
              <a:round/>
            </a:ln>
            <a:effectLst/>
          </c:spPr>
          <c:marker>
            <c:symbol val="x"/>
            <c:size val="7"/>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numRef>
          </c:xVal>
          <c:yVal>
            <c:numRef>
              <c:f>m!$BM$90:$CO$90</c:f>
              <c:numCache>
                <c:formatCode>General</c:formatCode>
                <c:ptCount val="29"/>
                <c:pt idx="0">
                  <c:v>7.5372228689385867</c:v>
                </c:pt>
                <c:pt idx="1">
                  <c:v>6.7538585466501351</c:v>
                </c:pt>
                <c:pt idx="3">
                  <c:v>6.9085285216317676</c:v>
                </c:pt>
                <c:pt idx="4">
                  <c:v>8.7844808327165307</c:v>
                </c:pt>
                <c:pt idx="5">
                  <c:v>6.8815419584476922</c:v>
                </c:pt>
                <c:pt idx="6">
                  <c:v>7.0835981525221072</c:v>
                </c:pt>
                <c:pt idx="7">
                  <c:v>7.9295325649227948</c:v>
                </c:pt>
                <c:pt idx="8">
                  <c:v>6.7364402255589626</c:v>
                </c:pt>
                <c:pt idx="9">
                  <c:v>6.8873829945396192</c:v>
                </c:pt>
                <c:pt idx="10">
                  <c:v>6.0678848365387212</c:v>
                </c:pt>
                <c:pt idx="11">
                  <c:v>6.1645888533499686</c:v>
                </c:pt>
                <c:pt idx="12">
                  <c:v>5.8693943176476182</c:v>
                </c:pt>
                <c:pt idx="13">
                  <c:v>6.7850434650344518</c:v>
                </c:pt>
                <c:pt idx="14">
                  <c:v>7.2194045444036385</c:v>
                </c:pt>
                <c:pt idx="15">
                  <c:v>6.9426629376466629</c:v>
                </c:pt>
                <c:pt idx="16">
                  <c:v>5.4563023939985182</c:v>
                </c:pt>
                <c:pt idx="17">
                  <c:v>5.65606720316016</c:v>
                </c:pt>
                <c:pt idx="18">
                  <c:v>4.8338479073442899</c:v>
                </c:pt>
                <c:pt idx="19">
                  <c:v>4.8195115261323638</c:v>
                </c:pt>
              </c:numCache>
            </c:numRef>
          </c:yVal>
          <c:smooth val="0"/>
          <c:extLst>
            <c:ext xmlns:c16="http://schemas.microsoft.com/office/drawing/2014/chart" uri="{C3380CC4-5D6E-409C-BE32-E72D297353CC}">
              <c16:uniqueId val="{00000002-2EFB-4F8F-8D43-6E0641061CA8}"/>
            </c:ext>
          </c:extLst>
        </c:ser>
        <c:ser>
          <c:idx val="13"/>
          <c:order val="3"/>
          <c:tx>
            <c:v>CF, Pipe 2</c:v>
          </c:tx>
          <c:spPr>
            <a:ln w="25400" cap="rnd">
              <a:noFill/>
              <a:round/>
            </a:ln>
            <a:effectLst/>
          </c:spPr>
          <c:marker>
            <c:symbol val="x"/>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numRef>
          </c:xVal>
          <c:yVal>
            <c:numRef>
              <c:f>m!$CP$90:$DT$90</c:f>
              <c:numCache>
                <c:formatCode>General</c:formatCode>
                <c:ptCount val="31"/>
                <c:pt idx="0">
                  <c:v>5.4193347671040568</c:v>
                </c:pt>
                <c:pt idx="1">
                  <c:v>6.8529805604098808</c:v>
                </c:pt>
                <c:pt idx="2">
                  <c:v>5.4979158235517529</c:v>
                </c:pt>
                <c:pt idx="3">
                  <c:v>7.4502001431439764</c:v>
                </c:pt>
                <c:pt idx="4">
                  <c:v>5.5318021576845782</c:v>
                </c:pt>
                <c:pt idx="5">
                  <c:v>5.5776637333934751</c:v>
                </c:pt>
                <c:pt idx="6">
                  <c:v>5.0590639783537945</c:v>
                </c:pt>
                <c:pt idx="7">
                  <c:v>6.8464682065829958</c:v>
                </c:pt>
                <c:pt idx="8">
                  <c:v>6.6543224390188449</c:v>
                </c:pt>
                <c:pt idx="9">
                  <c:v>5.1683830156398898</c:v>
                </c:pt>
                <c:pt idx="10">
                  <c:v>5.594990588667164</c:v>
                </c:pt>
                <c:pt idx="11">
                  <c:v>5.5691169351975658</c:v>
                </c:pt>
                <c:pt idx="12">
                  <c:v>6.2187642280426072</c:v>
                </c:pt>
                <c:pt idx="14">
                  <c:v>4.7683936504633282</c:v>
                </c:pt>
                <c:pt idx="15">
                  <c:v>6.8398595433096556</c:v>
                </c:pt>
                <c:pt idx="18">
                  <c:v>5.6245015284995121</c:v>
                </c:pt>
                <c:pt idx="19">
                  <c:v>5.8791631689856292</c:v>
                </c:pt>
                <c:pt idx="20">
                  <c:v>5.3497595958873392</c:v>
                </c:pt>
                <c:pt idx="21">
                  <c:v>5.3211634390164555</c:v>
                </c:pt>
                <c:pt idx="22">
                  <c:v>4.9082587245668545</c:v>
                </c:pt>
                <c:pt idx="23">
                  <c:v>8.1975543089896643</c:v>
                </c:pt>
                <c:pt idx="24">
                  <c:v>6.8783018648658745</c:v>
                </c:pt>
                <c:pt idx="25">
                  <c:v>8.0220992916744116</c:v>
                </c:pt>
                <c:pt idx="26">
                  <c:v>7.3674932365542176</c:v>
                </c:pt>
                <c:pt idx="27">
                  <c:v>6.412366602952301</c:v>
                </c:pt>
                <c:pt idx="28">
                  <c:v>4.9936302494679827</c:v>
                </c:pt>
                <c:pt idx="29">
                  <c:v>4.9024993379104069</c:v>
                </c:pt>
              </c:numCache>
            </c:numRef>
          </c:yVal>
          <c:smooth val="0"/>
          <c:extLst>
            <c:ext xmlns:c16="http://schemas.microsoft.com/office/drawing/2014/chart" uri="{C3380CC4-5D6E-409C-BE32-E72D297353CC}">
              <c16:uniqueId val="{00000004-2EFB-4F8F-8D43-6E0641061CA8}"/>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m!$DU$86:$DX$86</c:f>
              <c:numCache>
                <c:formatCode>General</c:formatCode>
                <c:ptCount val="4"/>
                <c:pt idx="1">
                  <c:v>3.8469075681895233</c:v>
                </c:pt>
              </c:numCache>
            </c:numRef>
          </c:xVal>
          <c:yVal>
            <c:numRef>
              <c:f>m!$DU$90:$DX$90</c:f>
              <c:numCache>
                <c:formatCode>General</c:formatCode>
                <c:ptCount val="4"/>
                <c:pt idx="1">
                  <c:v>7.7854864960459267</c:v>
                </c:pt>
              </c:numCache>
            </c:numRef>
          </c:yVal>
          <c:smooth val="0"/>
          <c:extLst>
            <c:ext xmlns:c16="http://schemas.microsoft.com/office/drawing/2014/chart" uri="{C3380CC4-5D6E-409C-BE32-E72D297353CC}">
              <c16:uniqueId val="{00000005-50B8-45EC-9588-8854EF692759}"/>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m!$DY$90:$EL$90</c:f>
              <c:numCache>
                <c:formatCode>General</c:formatCode>
                <c:ptCount val="14"/>
                <c:pt idx="0">
                  <c:v>9.9126672667002698</c:v>
                </c:pt>
                <c:pt idx="1">
                  <c:v>7.8833702476357796</c:v>
                </c:pt>
                <c:pt idx="2">
                  <c:v>7.4410449669162775</c:v>
                </c:pt>
                <c:pt idx="3">
                  <c:v>8.5277178745003859</c:v>
                </c:pt>
                <c:pt idx="4">
                  <c:v>6.6819444392548633</c:v>
                </c:pt>
                <c:pt idx="5">
                  <c:v>8.1725146024073823</c:v>
                </c:pt>
                <c:pt idx="6">
                  <c:v>7.8396125218769326</c:v>
                </c:pt>
                <c:pt idx="7">
                  <c:v>6.52021451328359</c:v>
                </c:pt>
                <c:pt idx="8">
                  <c:v>8.0022562475030163</c:v>
                </c:pt>
                <c:pt idx="10">
                  <c:v>6.8727735020532252</c:v>
                </c:pt>
                <c:pt idx="11">
                  <c:v>6.7032176997414767</c:v>
                </c:pt>
                <c:pt idx="13">
                  <c:v>6.1343399695379084</c:v>
                </c:pt>
              </c:numCache>
            </c:numRef>
          </c:yVal>
          <c:smooth val="0"/>
          <c:extLst>
            <c:ext xmlns:c16="http://schemas.microsoft.com/office/drawing/2014/chart" uri="{C3380CC4-5D6E-409C-BE32-E72D297353CC}">
              <c16:uniqueId val="{00000000-2EFB-4F8F-8D43-6E0641061CA8}"/>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numRef>
          </c:xVal>
          <c:yVal>
            <c:numRef>
              <c:f>m!$AF$91:$AO$91</c:f>
              <c:numCache>
                <c:formatCode>General</c:formatCode>
                <c:ptCount val="10"/>
                <c:pt idx="6">
                  <c:v>3.9502776072221706</c:v>
                </c:pt>
                <c:pt idx="7">
                  <c:v>3.8204481933278442</c:v>
                </c:pt>
                <c:pt idx="8">
                  <c:v>2.8990463053331168</c:v>
                </c:pt>
                <c:pt idx="9">
                  <c:v>3.0460998559525874</c:v>
                </c:pt>
              </c:numCache>
            </c:numRef>
          </c:yVal>
          <c:smooth val="0"/>
          <c:extLst>
            <c:ext xmlns:c16="http://schemas.microsoft.com/office/drawing/2014/chart" uri="{C3380CC4-5D6E-409C-BE32-E72D297353CC}">
              <c16:uniqueId val="{00000000-48BD-4070-A903-C0561C7A6CF1}"/>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f>m!$AP$91:$BL$91</c:f>
              <c:numCache>
                <c:formatCode>General</c:formatCode>
                <c:ptCount val="23"/>
                <c:pt idx="0">
                  <c:v>3.9015319384578984</c:v>
                </c:pt>
                <c:pt idx="1">
                  <c:v>4.0324241551015083</c:v>
                </c:pt>
                <c:pt idx="2">
                  <c:v>2.4087539710783048</c:v>
                </c:pt>
                <c:pt idx="3">
                  <c:v>2.5988468550675954</c:v>
                </c:pt>
                <c:pt idx="4">
                  <c:v>2.4975377660733624</c:v>
                </c:pt>
                <c:pt idx="6">
                  <c:v>2.4940490859525726</c:v>
                </c:pt>
                <c:pt idx="12">
                  <c:v>2.077389993099553</c:v>
                </c:pt>
                <c:pt idx="19">
                  <c:v>3.887685418105959</c:v>
                </c:pt>
                <c:pt idx="20">
                  <c:v>3.0668865507265997</c:v>
                </c:pt>
                <c:pt idx="21">
                  <c:v>4.0491103337392174</c:v>
                </c:pt>
              </c:numCache>
            </c:numRef>
          </c:yVal>
          <c:smooth val="0"/>
          <c:extLst>
            <c:ext xmlns:c16="http://schemas.microsoft.com/office/drawing/2014/chart" uri="{C3380CC4-5D6E-409C-BE32-E72D297353CC}">
              <c16:uniqueId val="{00000001-48BD-4070-A903-C0561C7A6CF1}"/>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numRef>
          </c:xVal>
          <c:yVal>
            <c:numRef>
              <c:f>m!$BM$91:$CO$91</c:f>
              <c:numCache>
                <c:formatCode>General</c:formatCode>
                <c:ptCount val="29"/>
                <c:pt idx="0">
                  <c:v>5.6967108509424049</c:v>
                </c:pt>
                <c:pt idx="1">
                  <c:v>6.5764190171402976</c:v>
                </c:pt>
                <c:pt idx="3">
                  <c:v>5.968040531828132</c:v>
                </c:pt>
                <c:pt idx="4">
                  <c:v>8.1684741974599575</c:v>
                </c:pt>
                <c:pt idx="5">
                  <c:v>5.8007139352102666</c:v>
                </c:pt>
                <c:pt idx="6">
                  <c:v>6.0918131305765044</c:v>
                </c:pt>
                <c:pt idx="7">
                  <c:v>8.1174980313774423</c:v>
                </c:pt>
                <c:pt idx="8">
                  <c:v>6.4312736308774889</c:v>
                </c:pt>
                <c:pt idx="9">
                  <c:v>6.3480129336212183</c:v>
                </c:pt>
                <c:pt idx="10">
                  <c:v>5.821324467772973</c:v>
                </c:pt>
                <c:pt idx="11">
                  <c:v>5.7088959001580211</c:v>
                </c:pt>
                <c:pt idx="12">
                  <c:v>5.7910267374423983</c:v>
                </c:pt>
                <c:pt idx="13">
                  <c:v>5.7614092633504805</c:v>
                </c:pt>
                <c:pt idx="14">
                  <c:v>7.0551494435079265</c:v>
                </c:pt>
                <c:pt idx="15">
                  <c:v>6.007268732546347</c:v>
                </c:pt>
                <c:pt idx="16">
                  <c:v>5.930704023686789</c:v>
                </c:pt>
                <c:pt idx="17">
                  <c:v>5.5628819216625125</c:v>
                </c:pt>
                <c:pt idx="18">
                  <c:v>5.362533094226932</c:v>
                </c:pt>
                <c:pt idx="19">
                  <c:v>5.2407446165760785</c:v>
                </c:pt>
              </c:numCache>
            </c:numRef>
          </c:yVal>
          <c:smooth val="0"/>
          <c:extLst>
            <c:ext xmlns:c16="http://schemas.microsoft.com/office/drawing/2014/chart" uri="{C3380CC4-5D6E-409C-BE32-E72D297353CC}">
              <c16:uniqueId val="{00000003-2EFB-4F8F-8D43-6E0641061CA8}"/>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numRef>
          </c:xVal>
          <c:yVal>
            <c:numRef>
              <c:f>m!$CP$91:$DT$91</c:f>
              <c:numCache>
                <c:formatCode>General</c:formatCode>
                <c:ptCount val="31"/>
                <c:pt idx="0">
                  <c:v>4.5300019054238749</c:v>
                </c:pt>
                <c:pt idx="1">
                  <c:v>4.5178025027989275</c:v>
                </c:pt>
                <c:pt idx="2">
                  <c:v>3.3950746364407207</c:v>
                </c:pt>
                <c:pt idx="3">
                  <c:v>5.7763007234186681</c:v>
                </c:pt>
                <c:pt idx="4">
                  <c:v>4.3065710023871615</c:v>
                </c:pt>
                <c:pt idx="5">
                  <c:v>3.8827381995634402</c:v>
                </c:pt>
                <c:pt idx="6">
                  <c:v>3.2487249458002383</c:v>
                </c:pt>
                <c:pt idx="7">
                  <c:v>5.3426987492817899</c:v>
                </c:pt>
                <c:pt idx="8">
                  <c:v>5.6472978874878201</c:v>
                </c:pt>
                <c:pt idx="9">
                  <c:v>4.1587397095032008</c:v>
                </c:pt>
                <c:pt idx="10">
                  <c:v>4.7838482341628046</c:v>
                </c:pt>
                <c:pt idx="11">
                  <c:v>4.9225301746781893</c:v>
                </c:pt>
                <c:pt idx="12">
                  <c:v>4.8966046339725624</c:v>
                </c:pt>
                <c:pt idx="14">
                  <c:v>3.9966525665694972</c:v>
                </c:pt>
                <c:pt idx="15">
                  <c:v>4.6938071324304609</c:v>
                </c:pt>
                <c:pt idx="18">
                  <c:v>5.0267580592225674</c:v>
                </c:pt>
                <c:pt idx="19">
                  <c:v>4.6038320806672992</c:v>
                </c:pt>
                <c:pt idx="20">
                  <c:v>5.2977799679061315</c:v>
                </c:pt>
                <c:pt idx="21">
                  <c:v>4.5548018302270039</c:v>
                </c:pt>
                <c:pt idx="22">
                  <c:v>4.4326497440326262</c:v>
                </c:pt>
                <c:pt idx="23">
                  <c:v>6.7354522978189433</c:v>
                </c:pt>
                <c:pt idx="24">
                  <c:v>5.5850136200566656</c:v>
                </c:pt>
                <c:pt idx="25">
                  <c:v>5.4551141788760695</c:v>
                </c:pt>
                <c:pt idx="26">
                  <c:v>4.9167729735368271</c:v>
                </c:pt>
                <c:pt idx="27">
                  <c:v>4.8519257534729014</c:v>
                </c:pt>
                <c:pt idx="28">
                  <c:v>4.7537157090149353</c:v>
                </c:pt>
                <c:pt idx="29">
                  <c:v>4.327704405636295</c:v>
                </c:pt>
              </c:numCache>
            </c:numRef>
          </c:yVal>
          <c:smooth val="0"/>
          <c:extLst>
            <c:ext xmlns:c16="http://schemas.microsoft.com/office/drawing/2014/chart" uri="{C3380CC4-5D6E-409C-BE32-E72D297353CC}">
              <c16:uniqueId val="{00000005-2EFB-4F8F-8D43-6E0641061CA8}"/>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m!$DU$86:$DX$86</c:f>
              <c:numCache>
                <c:formatCode>General</c:formatCode>
                <c:ptCount val="4"/>
                <c:pt idx="1">
                  <c:v>3.8469075681895233</c:v>
                </c:pt>
              </c:numCache>
            </c:numRef>
          </c:xVal>
          <c:yVal>
            <c:numRef>
              <c:f>m!$DU$91:$DX$91</c:f>
              <c:numCache>
                <c:formatCode>General</c:formatCode>
                <c:ptCount val="4"/>
                <c:pt idx="1">
                  <c:v>5.9805420003862961</c:v>
                </c:pt>
              </c:numCache>
            </c:numRef>
          </c:yVal>
          <c:smooth val="0"/>
          <c:extLst>
            <c:ext xmlns:c16="http://schemas.microsoft.com/office/drawing/2014/chart" uri="{C3380CC4-5D6E-409C-BE32-E72D297353CC}">
              <c16:uniqueId val="{00000002-48BD-4070-A903-C0561C7A6CF1}"/>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m!$DY$91:$EL$91</c:f>
              <c:numCache>
                <c:formatCode>General</c:formatCode>
                <c:ptCount val="14"/>
                <c:pt idx="0">
                  <c:v>5.9773958684019037</c:v>
                </c:pt>
                <c:pt idx="1">
                  <c:v>5.8402406967730096</c:v>
                </c:pt>
                <c:pt idx="2">
                  <c:v>6.3259605248394033</c:v>
                </c:pt>
                <c:pt idx="3">
                  <c:v>7.7415138100193532</c:v>
                </c:pt>
                <c:pt idx="4">
                  <c:v>6.155654344805801</c:v>
                </c:pt>
                <c:pt idx="5">
                  <c:v>6.1121726207461435</c:v>
                </c:pt>
                <c:pt idx="6">
                  <c:v>6.157519329771306</c:v>
                </c:pt>
                <c:pt idx="7">
                  <c:v>5.4328051641445443</c:v>
                </c:pt>
                <c:pt idx="8">
                  <c:v>6.3578452876193943</c:v>
                </c:pt>
                <c:pt idx="10">
                  <c:v>5.2365612840392179</c:v>
                </c:pt>
                <c:pt idx="11">
                  <c:v>5.1665061144228064</c:v>
                </c:pt>
                <c:pt idx="13">
                  <c:v>5.0320384230931241</c:v>
                </c:pt>
              </c:numCache>
            </c:numRef>
          </c:yVal>
          <c:smooth val="0"/>
          <c:extLst>
            <c:ext xmlns:c16="http://schemas.microsoft.com/office/drawing/2014/chart" uri="{C3380CC4-5D6E-409C-BE32-E72D297353CC}">
              <c16:uniqueId val="{00000001-2EFB-4F8F-8D43-6E0641061CA8}"/>
            </c:ext>
          </c:extLst>
        </c:ser>
        <c:dLbls>
          <c:showLegendKey val="0"/>
          <c:showVal val="0"/>
          <c:showCatName val="0"/>
          <c:showSerName val="0"/>
          <c:showPercent val="0"/>
          <c:showBubbleSize val="0"/>
        </c:dLbls>
        <c:axId val="624399680"/>
        <c:axId val="624400008"/>
        <c:extLst>
          <c:ext xmlns:c15="http://schemas.microsoft.com/office/drawing/2012/chart" uri="{02D57815-91ED-43cb-92C2-25804820EDAC}">
            <c15:filteredScatterSeries>
              <c15:ser>
                <c:idx val="1"/>
                <c:order val="12"/>
                <c:tx>
                  <c:v>In Line, OL</c:v>
                </c:tx>
                <c:spPr>
                  <a:ln w="25400" cap="rnd">
                    <a:noFill/>
                    <a:round/>
                  </a:ln>
                  <a:effectLst/>
                </c:spPr>
                <c:marker>
                  <c:symbol val="circle"/>
                  <c:size val="7"/>
                  <c:spPr>
                    <a:noFill/>
                    <a:ln w="15875">
                      <a:solidFill>
                        <a:schemeClr val="tx1"/>
                      </a:solidFill>
                    </a:ln>
                    <a:effectLst/>
                  </c:spPr>
                </c:marker>
                <c:xVal>
                  <c:numRef>
                    <c:extLst>
                      <c:ext uri="{02D57815-91ED-43cb-92C2-25804820EDAC}">
                        <c15:formulaRef>
                          <c15:sqref>m!$AF$86:$AO$86</c15:sqref>
                        </c15:formulaRef>
                      </c:ext>
                    </c:extLst>
                    <c:numCache>
                      <c:formatCode>General</c:formatCode>
                      <c:ptCount val="10"/>
                      <c:pt idx="6">
                        <c:v>2.60569650261762</c:v>
                      </c:pt>
                      <c:pt idx="7">
                        <c:v>2.8052504067622763</c:v>
                      </c:pt>
                      <c:pt idx="8">
                        <c:v>2.9780821140943421</c:v>
                      </c:pt>
                      <c:pt idx="9">
                        <c:v>3.163643721763262</c:v>
                      </c:pt>
                    </c:numCache>
                  </c:numRef>
                </c:xVal>
                <c:yVal>
                  <c:numRef>
                    <c:extLst>
                      <c:ext uri="{02D57815-91ED-43cb-92C2-25804820EDAC}">
                        <c15:formulaRef>
                          <c15:sqref>m!$AF$91:$AO$91</c15:sqref>
                        </c15:formulaRef>
                      </c:ext>
                    </c:extLst>
                    <c:numCache>
                      <c:formatCode>General</c:formatCode>
                      <c:ptCount val="10"/>
                      <c:pt idx="6">
                        <c:v>3.9502776072221706</c:v>
                      </c:pt>
                      <c:pt idx="7">
                        <c:v>3.8204481933278442</c:v>
                      </c:pt>
                      <c:pt idx="8">
                        <c:v>2.8990463053331168</c:v>
                      </c:pt>
                      <c:pt idx="9">
                        <c:v>3.0460998559525874</c:v>
                      </c:pt>
                    </c:numCache>
                  </c:numRef>
                </c:yVal>
                <c:smooth val="0"/>
                <c:extLst>
                  <c:ext xmlns:c16="http://schemas.microsoft.com/office/drawing/2014/chart" uri="{C3380CC4-5D6E-409C-BE32-E72D297353CC}">
                    <c16:uniqueId val="{00000001-50B8-45EC-9588-8854EF692759}"/>
                  </c:ext>
                </c:extLst>
              </c15:ser>
            </c15:filteredScatterSeries>
            <c15:filteredScatterSeries>
              <c15:ser>
                <c:idx val="2"/>
                <c:order val="13"/>
                <c:tx>
                  <c:v>In Line, EM</c:v>
                </c:tx>
                <c:spPr>
                  <a:ln w="25400" cap="rnd">
                    <a:noFill/>
                    <a:round/>
                  </a:ln>
                  <a:effectLst/>
                </c:spPr>
                <c:marker>
                  <c:symbol val="circle"/>
                  <c:size val="7"/>
                  <c:spPr>
                    <a:noFill/>
                    <a:ln w="15875">
                      <a:solidFill>
                        <a:schemeClr val="accent3"/>
                      </a:solidFill>
                    </a:ln>
                    <a:effectLst/>
                  </c:spPr>
                </c:marker>
                <c:xVal>
                  <c:numRef>
                    <c:extLst xmlns:c15="http://schemas.microsoft.com/office/drawing/2012/chart">
                      <c:ext xmlns:c15="http://schemas.microsoft.com/office/drawing/2012/chart" uri="{02D57815-91ED-43cb-92C2-25804820EDAC}">
                        <c15:formulaRef>
                          <c15:sqref>m!$AP$86:$BL$86</c15:sqref>
                        </c15:formulaRef>
                      </c:ext>
                    </c:extLst>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extLst xmlns:c15="http://schemas.microsoft.com/office/drawing/2012/chart">
                      <c:ext xmlns:c15="http://schemas.microsoft.com/office/drawing/2012/chart" uri="{02D57815-91ED-43cb-92C2-25804820EDAC}">
                        <c15:formulaRef>
                          <c15:sqref>m!$AP$91:$BL$91</c15:sqref>
                        </c15:formulaRef>
                      </c:ext>
                    </c:extLst>
                    <c:numCache>
                      <c:formatCode>General</c:formatCode>
                      <c:ptCount val="23"/>
                      <c:pt idx="0">
                        <c:v>3.9015319384578984</c:v>
                      </c:pt>
                      <c:pt idx="1">
                        <c:v>4.0324241551015083</c:v>
                      </c:pt>
                      <c:pt idx="2">
                        <c:v>2.4087539710783048</c:v>
                      </c:pt>
                      <c:pt idx="3">
                        <c:v>2.5988468550675954</c:v>
                      </c:pt>
                      <c:pt idx="4">
                        <c:v>2.4975377660733624</c:v>
                      </c:pt>
                      <c:pt idx="6">
                        <c:v>2.4940490859525726</c:v>
                      </c:pt>
                      <c:pt idx="12">
                        <c:v>2.077389993099553</c:v>
                      </c:pt>
                      <c:pt idx="19">
                        <c:v>3.887685418105959</c:v>
                      </c:pt>
                      <c:pt idx="20">
                        <c:v>3.0668865507265997</c:v>
                      </c:pt>
                      <c:pt idx="21">
                        <c:v>4.0491103337392174</c:v>
                      </c:pt>
                    </c:numCache>
                  </c:numRef>
                </c:yVal>
                <c:smooth val="0"/>
                <c:extLst xmlns:c15="http://schemas.microsoft.com/office/drawing/2012/chart">
                  <c:ext xmlns:c16="http://schemas.microsoft.com/office/drawing/2014/chart" uri="{C3380CC4-5D6E-409C-BE32-E72D297353CC}">
                    <c16:uniqueId val="{00000002-50B8-45EC-9588-8854EF692759}"/>
                  </c:ext>
                </c:extLst>
              </c15:ser>
            </c15:filteredScatterSeries>
            <c15:filteredScatterSeries>
              <c15:ser>
                <c:idx val="3"/>
                <c:order val="14"/>
                <c:tx>
                  <c:v>In Line, Shell</c:v>
                </c:tx>
                <c:spPr>
                  <a:ln w="25400" cap="rnd">
                    <a:noFill/>
                    <a:round/>
                  </a:ln>
                  <a:effectLst/>
                </c:spPr>
                <c:marker>
                  <c:symbol val="circle"/>
                  <c:size val="7"/>
                  <c:spPr>
                    <a:noFill/>
                    <a:ln w="15875">
                      <a:solidFill>
                        <a:schemeClr val="accent2"/>
                      </a:solidFill>
                    </a:ln>
                    <a:effectLst/>
                  </c:spPr>
                </c:marker>
                <c:xVal>
                  <c:numRef>
                    <c:extLst xmlns:c15="http://schemas.microsoft.com/office/drawing/2012/chart">
                      <c:ext xmlns:c15="http://schemas.microsoft.com/office/drawing/2012/chart" uri="{02D57815-91ED-43cb-92C2-25804820EDAC}">
                        <c15:formulaRef>
                          <c15:sqref>m!$DU$86:$DX$86</c15:sqref>
                        </c15:formulaRef>
                      </c:ext>
                    </c:extLst>
                    <c:numCache>
                      <c:formatCode>General</c:formatCode>
                      <c:ptCount val="4"/>
                      <c:pt idx="1">
                        <c:v>3.8469075681895233</c:v>
                      </c:pt>
                    </c:numCache>
                  </c:numRef>
                </c:xVal>
                <c:yVal>
                  <c:numRef>
                    <c:extLst xmlns:c15="http://schemas.microsoft.com/office/drawing/2012/chart">
                      <c:ext xmlns:c15="http://schemas.microsoft.com/office/drawing/2012/chart" uri="{02D57815-91ED-43cb-92C2-25804820EDAC}">
                        <c15:formulaRef>
                          <c15:sqref>m!$DU$91:$DX$91</c15:sqref>
                        </c15:formulaRef>
                      </c:ext>
                    </c:extLst>
                    <c:numCache>
                      <c:formatCode>General</c:formatCode>
                      <c:ptCount val="4"/>
                      <c:pt idx="1">
                        <c:v>5.9805420003862961</c:v>
                      </c:pt>
                    </c:numCache>
                  </c:numRef>
                </c:yVal>
                <c:smooth val="0"/>
                <c:extLst xmlns:c15="http://schemas.microsoft.com/office/drawing/2012/chart">
                  <c:ext xmlns:c16="http://schemas.microsoft.com/office/drawing/2014/chart" uri="{C3380CC4-5D6E-409C-BE32-E72D297353CC}">
                    <c16:uniqueId val="{00000003-50B8-45EC-9588-8854EF692759}"/>
                  </c:ext>
                </c:extLst>
              </c15:ser>
            </c15:filteredScatterSeries>
          </c:ext>
        </c:extLst>
      </c:scatterChart>
      <c:valAx>
        <c:axId val="624399680"/>
        <c:scaling>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Normalized Span Length, L̃ = L/L</a:t>
                </a:r>
                <a:r>
                  <a:rPr lang="en-US" sz="1800" baseline="-25000">
                    <a:effectLst/>
                  </a:rPr>
                  <a:t>st</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Normalized dynamic bending strain amplitude,  ϵ̃ = ϵ/[(R</a:t>
                </a:r>
                <a:r>
                  <a:rPr lang="en-US" sz="1400" b="0" i="0" u="none" strike="noStrike" baseline="-25000">
                    <a:effectLst/>
                  </a:rPr>
                  <a:t>ϵ</a:t>
                </a:r>
                <a:r>
                  <a:rPr lang="en-US" sz="1400" b="0" i="0" u="none" strike="noStrike" baseline="0">
                    <a:effectLst/>
                  </a:rPr>
                  <a:t> D)/ L</a:t>
                </a:r>
                <a:r>
                  <a:rPr lang="en-US" sz="1400" b="0" i="0" u="none" strike="noStrike" baseline="-25000">
                    <a:effectLst/>
                  </a:rPr>
                  <a:t>st</a:t>
                </a:r>
                <a:r>
                  <a:rPr lang="en-US" sz="1400" b="0" i="0" u="none" strike="noStrike" baseline="30000">
                    <a:effectLst/>
                  </a:rPr>
                  <a:t>2</a:t>
                </a:r>
                <a:r>
                  <a:rPr lang="en-US" sz="1400" b="0" i="0" u="none" strike="noStrike" baseline="0">
                    <a:effectLst/>
                  </a:rPr>
                  <a:t>]</a:t>
                </a:r>
                <a:endParaRPr lang="en-US"/>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extLst xmlns:c15="http://schemas.microsoft.com/office/drawing/2012/chart"/>
            </c:numRef>
          </c:xVal>
          <c:yVal>
            <c:numRef>
              <c:f>m!$AF$95:$AO$95</c:f>
              <c:numCache>
                <c:formatCode>General</c:formatCode>
                <c:ptCount val="10"/>
                <c:pt idx="6">
                  <c:v>6.0414806166082506</c:v>
                </c:pt>
                <c:pt idx="7">
                  <c:v>6.1292359928204512</c:v>
                </c:pt>
                <c:pt idx="8">
                  <c:v>5.2848958185987494</c:v>
                </c:pt>
                <c:pt idx="9">
                  <c:v>4.2979154085934459</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0-4000-430E-A349-4B1BFC155A33}"/>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extLst xmlns:c15="http://schemas.microsoft.com/office/drawing/2012/chart"/>
            </c:numRef>
          </c:xVal>
          <c:yVal>
            <c:numRef>
              <c:f>m!$AP$95:$BL$95</c:f>
              <c:numCache>
                <c:formatCode>General</c:formatCode>
                <c:ptCount val="23"/>
                <c:pt idx="0">
                  <c:v>5.0532147082786567</c:v>
                </c:pt>
                <c:pt idx="1">
                  <c:v>3.6133175421953494</c:v>
                </c:pt>
                <c:pt idx="2">
                  <c:v>4.4434942874585293</c:v>
                </c:pt>
                <c:pt idx="3">
                  <c:v>4.9154385147601225</c:v>
                </c:pt>
                <c:pt idx="4">
                  <c:v>5.3963977447979259</c:v>
                </c:pt>
                <c:pt idx="6">
                  <c:v>3.52255142553093</c:v>
                </c:pt>
                <c:pt idx="12">
                  <c:v>4.1401928182528742</c:v>
                </c:pt>
                <c:pt idx="19">
                  <c:v>4.490854651714832</c:v>
                </c:pt>
                <c:pt idx="20">
                  <c:v>4.8959517967458943</c:v>
                </c:pt>
                <c:pt idx="21">
                  <c:v>3.8939295934451761</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1-4000-430E-A349-4B1BFC155A33}"/>
            </c:ext>
          </c:extLst>
        </c:ser>
        <c:ser>
          <c:idx val="11"/>
          <c:order val="2"/>
          <c:tx>
            <c:v>CF, Pipe 1</c:v>
          </c:tx>
          <c:spPr>
            <a:ln w="25400" cap="rnd">
              <a:noFill/>
              <a:round/>
            </a:ln>
            <a:effectLst/>
          </c:spPr>
          <c:marker>
            <c:symbol val="x"/>
            <c:size val="7"/>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extLst xmlns:c15="http://schemas.microsoft.com/office/drawing/2012/chart"/>
            </c:numRef>
          </c:xVal>
          <c:yVal>
            <c:numRef>
              <c:f>m!$BM$95:$CO$95</c:f>
              <c:numCache>
                <c:formatCode>General</c:formatCode>
                <c:ptCount val="29"/>
                <c:pt idx="0">
                  <c:v>10.120470713192889</c:v>
                </c:pt>
                <c:pt idx="1">
                  <c:v>8.9453772336192614</c:v>
                </c:pt>
                <c:pt idx="3">
                  <c:v>10.611578666711525</c:v>
                </c:pt>
                <c:pt idx="4">
                  <c:v>13.484969152564005</c:v>
                </c:pt>
                <c:pt idx="5">
                  <c:v>9.6684949677469909</c:v>
                </c:pt>
                <c:pt idx="6">
                  <c:v>10.056504925363537</c:v>
                </c:pt>
                <c:pt idx="7">
                  <c:v>11.387889643620143</c:v>
                </c:pt>
                <c:pt idx="8">
                  <c:v>9.5704123434084227</c:v>
                </c:pt>
                <c:pt idx="9">
                  <c:v>9.3655475104383363</c:v>
                </c:pt>
                <c:pt idx="10">
                  <c:v>7.9975610372982713</c:v>
                </c:pt>
                <c:pt idx="11">
                  <c:v>8.2532209331067783</c:v>
                </c:pt>
                <c:pt idx="12">
                  <c:v>7.954322186490991</c:v>
                </c:pt>
                <c:pt idx="13">
                  <c:v>10.007795801208351</c:v>
                </c:pt>
                <c:pt idx="14">
                  <c:v>9.8621963860643529</c:v>
                </c:pt>
                <c:pt idx="15">
                  <c:v>9.4519747608689038</c:v>
                </c:pt>
                <c:pt idx="16">
                  <c:v>7.5048349972577322</c:v>
                </c:pt>
                <c:pt idx="17">
                  <c:v>7.5765537722697776</c:v>
                </c:pt>
                <c:pt idx="18">
                  <c:v>6.4600890770907728</c:v>
                </c:pt>
                <c:pt idx="19">
                  <c:v>6.3590149916729768</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2-4000-430E-A349-4B1BFC155A33}"/>
            </c:ext>
          </c:extLst>
        </c:ser>
        <c:ser>
          <c:idx val="13"/>
          <c:order val="3"/>
          <c:tx>
            <c:v>CF, Pipe 2</c:v>
          </c:tx>
          <c:spPr>
            <a:ln w="25400" cap="rnd">
              <a:noFill/>
              <a:round/>
            </a:ln>
            <a:effectLst/>
          </c:spPr>
          <c:marker>
            <c:symbol val="x"/>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extLst xmlns:c15="http://schemas.microsoft.com/office/drawing/2012/chart"/>
            </c:numRef>
          </c:xVal>
          <c:yVal>
            <c:numRef>
              <c:f>m!$CP$95:$DT$95</c:f>
              <c:numCache>
                <c:formatCode>General</c:formatCode>
                <c:ptCount val="31"/>
                <c:pt idx="0">
                  <c:v>7.230064864592558</c:v>
                </c:pt>
                <c:pt idx="1">
                  <c:v>7.8432795970043863</c:v>
                </c:pt>
                <c:pt idx="2">
                  <c:v>7.1611992718238096</c:v>
                </c:pt>
                <c:pt idx="3">
                  <c:v>8.5921413030732001</c:v>
                </c:pt>
                <c:pt idx="4">
                  <c:v>6.661272134560023</c:v>
                </c:pt>
                <c:pt idx="5">
                  <c:v>7.7435399296450607</c:v>
                </c:pt>
                <c:pt idx="6">
                  <c:v>6.1997981508460969</c:v>
                </c:pt>
                <c:pt idx="7">
                  <c:v>7.7408089896434431</c:v>
                </c:pt>
                <c:pt idx="8">
                  <c:v>8.6625983848095451</c:v>
                </c:pt>
                <c:pt idx="9">
                  <c:v>6.621771797238047</c:v>
                </c:pt>
                <c:pt idx="10">
                  <c:v>6.9659330774762003</c:v>
                </c:pt>
                <c:pt idx="11">
                  <c:v>7.1453382407870949</c:v>
                </c:pt>
                <c:pt idx="12">
                  <c:v>8.4516911292205865</c:v>
                </c:pt>
                <c:pt idx="14">
                  <c:v>6.0778760902500926</c:v>
                </c:pt>
                <c:pt idx="15">
                  <c:v>8.6619524722903734</c:v>
                </c:pt>
                <c:pt idx="18">
                  <c:v>7.3483443733593532</c:v>
                </c:pt>
                <c:pt idx="19">
                  <c:v>8.0072612621981989</c:v>
                </c:pt>
                <c:pt idx="20">
                  <c:v>7.0758839302446521</c:v>
                </c:pt>
                <c:pt idx="21">
                  <c:v>6.8389367669751673</c:v>
                </c:pt>
                <c:pt idx="22">
                  <c:v>6.2031731981670291</c:v>
                </c:pt>
                <c:pt idx="23">
                  <c:v>9.608322876774281</c:v>
                </c:pt>
                <c:pt idx="24">
                  <c:v>8.2080991638713332</c:v>
                </c:pt>
                <c:pt idx="25">
                  <c:v>10.795030638909601</c:v>
                </c:pt>
                <c:pt idx="26">
                  <c:v>9.9406684789797772</c:v>
                </c:pt>
                <c:pt idx="27">
                  <c:v>7.6699085645929568</c:v>
                </c:pt>
                <c:pt idx="28">
                  <c:v>6.1233547438995259</c:v>
                </c:pt>
                <c:pt idx="29">
                  <c:v>6.1359189433264092</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3-4000-430E-A349-4B1BFC155A33}"/>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m!$DU$86:$DX$86</c:f>
              <c:numCache>
                <c:formatCode>General</c:formatCode>
                <c:ptCount val="4"/>
                <c:pt idx="1">
                  <c:v>3.8469075681895233</c:v>
                </c:pt>
              </c:numCache>
              <c:extLst xmlns:c15="http://schemas.microsoft.com/office/drawing/2012/chart"/>
            </c:numRef>
          </c:xVal>
          <c:yVal>
            <c:numRef>
              <c:f>m!$DU$95:$DX$95</c:f>
              <c:numCache>
                <c:formatCode>General</c:formatCode>
                <c:ptCount val="4"/>
                <c:pt idx="1">
                  <c:v>11.627400337732656</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4-4000-430E-A349-4B1BFC155A33}"/>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m!$DY$95:$EL$95</c:f>
              <c:numCache>
                <c:formatCode>General</c:formatCode>
                <c:ptCount val="14"/>
                <c:pt idx="0">
                  <c:v>11.841933921401584</c:v>
                </c:pt>
                <c:pt idx="1">
                  <c:v>10.112716420782542</c:v>
                </c:pt>
                <c:pt idx="2">
                  <c:v>10.75326981223963</c:v>
                </c:pt>
                <c:pt idx="3">
                  <c:v>12.593437950738654</c:v>
                </c:pt>
                <c:pt idx="4">
                  <c:v>9.9708079988168254</c:v>
                </c:pt>
                <c:pt idx="5">
                  <c:v>12.57159489291657</c:v>
                </c:pt>
                <c:pt idx="6">
                  <c:v>11.025393435074347</c:v>
                </c:pt>
                <c:pt idx="7">
                  <c:v>8.8729996804417208</c:v>
                </c:pt>
                <c:pt idx="8">
                  <c:v>12.254596368878824</c:v>
                </c:pt>
                <c:pt idx="10">
                  <c:v>9.2304269063872528</c:v>
                </c:pt>
                <c:pt idx="11">
                  <c:v>10.128045629794443</c:v>
                </c:pt>
                <c:pt idx="13">
                  <c:v>8.7481293899266319</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5-4000-430E-A349-4B1BFC155A33}"/>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numRef>
          </c:xVal>
          <c:yVal>
            <c:numRef>
              <c:f>m!$AF$96:$AO$96</c:f>
              <c:numCache>
                <c:formatCode>General</c:formatCode>
                <c:ptCount val="10"/>
                <c:pt idx="6">
                  <c:v>4.6527598235675249</c:v>
                </c:pt>
                <c:pt idx="7">
                  <c:v>4.2805274655235781</c:v>
                </c:pt>
                <c:pt idx="8">
                  <c:v>3.4393569277814708</c:v>
                </c:pt>
                <c:pt idx="9">
                  <c:v>3.6129037340831314</c:v>
                </c:pt>
              </c:numCache>
            </c:numRef>
          </c:yVal>
          <c:smooth val="0"/>
          <c:extLst>
            <c:ext xmlns:c16="http://schemas.microsoft.com/office/drawing/2014/chart" uri="{C3380CC4-5D6E-409C-BE32-E72D297353CC}">
              <c16:uniqueId val="{00000006-4000-430E-A349-4B1BFC155A33}"/>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f>m!$AP$96:$BL$96</c:f>
              <c:numCache>
                <c:formatCode>General</c:formatCode>
                <c:ptCount val="23"/>
                <c:pt idx="0">
                  <c:v>5.4755784611121161</c:v>
                </c:pt>
                <c:pt idx="1">
                  <c:v>5.1682826595532747</c:v>
                </c:pt>
                <c:pt idx="2">
                  <c:v>3.0985995787371445</c:v>
                </c:pt>
                <c:pt idx="3">
                  <c:v>3.134879815279314</c:v>
                </c:pt>
                <c:pt idx="4">
                  <c:v>3.0033011206407316</c:v>
                </c:pt>
                <c:pt idx="6">
                  <c:v>2.9529997740314693</c:v>
                </c:pt>
                <c:pt idx="12">
                  <c:v>2.536745078640724</c:v>
                </c:pt>
                <c:pt idx="19">
                  <c:v>5.2461545091174413</c:v>
                </c:pt>
                <c:pt idx="20">
                  <c:v>3.8667689214808134</c:v>
                </c:pt>
                <c:pt idx="21">
                  <c:v>5.2126574434788768</c:v>
                </c:pt>
              </c:numCache>
            </c:numRef>
          </c:yVal>
          <c:smooth val="0"/>
          <c:extLst>
            <c:ext xmlns:c16="http://schemas.microsoft.com/office/drawing/2014/chart" uri="{C3380CC4-5D6E-409C-BE32-E72D297353CC}">
              <c16:uniqueId val="{00000007-4000-430E-A349-4B1BFC155A33}"/>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numRef>
          </c:xVal>
          <c:yVal>
            <c:numRef>
              <c:f>m!$BM$96:$CO$96</c:f>
              <c:numCache>
                <c:formatCode>General</c:formatCode>
                <c:ptCount val="29"/>
                <c:pt idx="0">
                  <c:v>7.7033235890944756</c:v>
                </c:pt>
                <c:pt idx="1">
                  <c:v>9.1444916587946974</c:v>
                </c:pt>
                <c:pt idx="3">
                  <c:v>8.7140648971788437</c:v>
                </c:pt>
                <c:pt idx="4">
                  <c:v>12.927157671770168</c:v>
                </c:pt>
                <c:pt idx="5">
                  <c:v>8.3600761384121469</c:v>
                </c:pt>
                <c:pt idx="6">
                  <c:v>8.9999781210833945</c:v>
                </c:pt>
                <c:pt idx="7">
                  <c:v>11.710147435168425</c:v>
                </c:pt>
                <c:pt idx="8">
                  <c:v>9.6604016799591612</c:v>
                </c:pt>
                <c:pt idx="9">
                  <c:v>8.9844518836473455</c:v>
                </c:pt>
                <c:pt idx="10">
                  <c:v>8.1478940601600911</c:v>
                </c:pt>
                <c:pt idx="11">
                  <c:v>7.9194530647955013</c:v>
                </c:pt>
                <c:pt idx="12">
                  <c:v>8.4688373486197897</c:v>
                </c:pt>
                <c:pt idx="13">
                  <c:v>8.1654266073084845</c:v>
                </c:pt>
                <c:pt idx="14">
                  <c:v>10.157317419596724</c:v>
                </c:pt>
                <c:pt idx="15">
                  <c:v>8.4459765120883326</c:v>
                </c:pt>
                <c:pt idx="16">
                  <c:v>8.8566927659923493</c:v>
                </c:pt>
                <c:pt idx="17">
                  <c:v>7.9864493524762779</c:v>
                </c:pt>
                <c:pt idx="18">
                  <c:v>7.5929751024784267</c:v>
                </c:pt>
                <c:pt idx="19">
                  <c:v>7.0417931291632536</c:v>
                </c:pt>
              </c:numCache>
            </c:numRef>
          </c:yVal>
          <c:smooth val="0"/>
          <c:extLst>
            <c:ext xmlns:c16="http://schemas.microsoft.com/office/drawing/2014/chart" uri="{C3380CC4-5D6E-409C-BE32-E72D297353CC}">
              <c16:uniqueId val="{00000008-4000-430E-A349-4B1BFC155A33}"/>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numRef>
          </c:xVal>
          <c:yVal>
            <c:numRef>
              <c:f>m!$CP$96:$DT$96</c:f>
              <c:numCache>
                <c:formatCode>General</c:formatCode>
                <c:ptCount val="31"/>
                <c:pt idx="0">
                  <c:v>6.6249810457925706</c:v>
                </c:pt>
                <c:pt idx="1">
                  <c:v>5.9447274054537775</c:v>
                </c:pt>
                <c:pt idx="2">
                  <c:v>4.3790295625014277</c:v>
                </c:pt>
                <c:pt idx="3">
                  <c:v>7.0215974595106143</c:v>
                </c:pt>
                <c:pt idx="4">
                  <c:v>5.4768436761823818</c:v>
                </c:pt>
                <c:pt idx="5">
                  <c:v>4.8822056936446092</c:v>
                </c:pt>
                <c:pt idx="6">
                  <c:v>4.4672288224686083</c:v>
                </c:pt>
                <c:pt idx="7">
                  <c:v>6.5369518717044457</c:v>
                </c:pt>
                <c:pt idx="8">
                  <c:v>7.9590472097189648</c:v>
                </c:pt>
                <c:pt idx="9">
                  <c:v>5.4878070883378705</c:v>
                </c:pt>
                <c:pt idx="10">
                  <c:v>6.5026988056572304</c:v>
                </c:pt>
                <c:pt idx="11">
                  <c:v>6.329848379965453</c:v>
                </c:pt>
                <c:pt idx="12">
                  <c:v>6.2013253457317621</c:v>
                </c:pt>
                <c:pt idx="14">
                  <c:v>5.2492619268133645</c:v>
                </c:pt>
                <c:pt idx="15">
                  <c:v>6.3209002515631276</c:v>
                </c:pt>
                <c:pt idx="18">
                  <c:v>6.4868297836002924</c:v>
                </c:pt>
                <c:pt idx="19">
                  <c:v>5.827620282954654</c:v>
                </c:pt>
                <c:pt idx="20">
                  <c:v>7.0663143302767422</c:v>
                </c:pt>
                <c:pt idx="21">
                  <c:v>5.9628619384453367</c:v>
                </c:pt>
                <c:pt idx="22">
                  <c:v>5.5226853762264438</c:v>
                </c:pt>
                <c:pt idx="23">
                  <c:v>9.7019903060697743</c:v>
                </c:pt>
                <c:pt idx="24">
                  <c:v>7.6053639768993335</c:v>
                </c:pt>
                <c:pt idx="25">
                  <c:v>7.5584542426748964</c:v>
                </c:pt>
                <c:pt idx="26">
                  <c:v>6.9427008530083283</c:v>
                </c:pt>
                <c:pt idx="27">
                  <c:v>6.4055240885023839</c:v>
                </c:pt>
                <c:pt idx="28">
                  <c:v>5.9595789339150782</c:v>
                </c:pt>
                <c:pt idx="29">
                  <c:v>5.8625018670641422</c:v>
                </c:pt>
              </c:numCache>
            </c:numRef>
          </c:yVal>
          <c:smooth val="0"/>
          <c:extLst>
            <c:ext xmlns:c16="http://schemas.microsoft.com/office/drawing/2014/chart" uri="{C3380CC4-5D6E-409C-BE32-E72D297353CC}">
              <c16:uniqueId val="{00000009-4000-430E-A349-4B1BFC155A33}"/>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m!$DU$86:$DX$86</c:f>
              <c:numCache>
                <c:formatCode>General</c:formatCode>
                <c:ptCount val="4"/>
                <c:pt idx="1">
                  <c:v>3.8469075681895233</c:v>
                </c:pt>
              </c:numCache>
            </c:numRef>
          </c:xVal>
          <c:yVal>
            <c:numRef>
              <c:f>m!$DU$96:$DX$96</c:f>
              <c:numCache>
                <c:formatCode>General</c:formatCode>
                <c:ptCount val="4"/>
                <c:pt idx="1">
                  <c:v>8.5837852954236631</c:v>
                </c:pt>
              </c:numCache>
            </c:numRef>
          </c:yVal>
          <c:smooth val="0"/>
          <c:extLst>
            <c:ext xmlns:c16="http://schemas.microsoft.com/office/drawing/2014/chart" uri="{C3380CC4-5D6E-409C-BE32-E72D297353CC}">
              <c16:uniqueId val="{0000000A-4000-430E-A349-4B1BFC155A33}"/>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m!$DY$96:$EL$96</c:f>
              <c:numCache>
                <c:formatCode>General</c:formatCode>
                <c:ptCount val="14"/>
                <c:pt idx="0">
                  <c:v>8.0736939293288259</c:v>
                </c:pt>
                <c:pt idx="1">
                  <c:v>8.5723204770723118</c:v>
                </c:pt>
                <c:pt idx="2">
                  <c:v>9.3688715981853772</c:v>
                </c:pt>
                <c:pt idx="3">
                  <c:v>11.808645757253798</c:v>
                </c:pt>
                <c:pt idx="4">
                  <c:v>9.3027335683988124</c:v>
                </c:pt>
                <c:pt idx="5">
                  <c:v>8.8407959437509973</c:v>
                </c:pt>
                <c:pt idx="6">
                  <c:v>9.4797698241348378</c:v>
                </c:pt>
                <c:pt idx="7">
                  <c:v>7.8622566156607085</c:v>
                </c:pt>
                <c:pt idx="8">
                  <c:v>9.6176111415033159</c:v>
                </c:pt>
                <c:pt idx="10">
                  <c:v>7.4199267899654808</c:v>
                </c:pt>
                <c:pt idx="11">
                  <c:v>7.9053481326688049</c:v>
                </c:pt>
                <c:pt idx="13">
                  <c:v>7.3530728474436851</c:v>
                </c:pt>
              </c:numCache>
            </c:numRef>
          </c:yVal>
          <c:smooth val="0"/>
          <c:extLst>
            <c:ext xmlns:c16="http://schemas.microsoft.com/office/drawing/2014/chart" uri="{C3380CC4-5D6E-409C-BE32-E72D297353CC}">
              <c16:uniqueId val="{0000000B-4000-430E-A349-4B1BFC155A33}"/>
            </c:ext>
          </c:extLst>
        </c:ser>
        <c:dLbls>
          <c:showLegendKey val="0"/>
          <c:showVal val="0"/>
          <c:showCatName val="0"/>
          <c:showSerName val="0"/>
          <c:showPercent val="0"/>
          <c:showBubbleSize val="0"/>
        </c:dLbls>
        <c:axId val="624399680"/>
        <c:axId val="624400008"/>
        <c:extLst/>
      </c:scatterChart>
      <c:valAx>
        <c:axId val="624399680"/>
        <c:scaling>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Normalized Span Length, L̃ = L/L</a:t>
                </a:r>
                <a:r>
                  <a:rPr lang="en-US" sz="1800" baseline="-25000">
                    <a:effectLst/>
                  </a:rPr>
                  <a:t>st</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baseline="0">
                    <a:effectLst/>
                  </a:rPr>
                  <a:t>Normalized Fatigue-Equivalent Strain Amplitude,   ϵ̃</a:t>
                </a:r>
                <a:r>
                  <a:rPr lang="en-US" sz="1400" b="0" i="0" baseline="-25000">
                    <a:effectLst/>
                  </a:rPr>
                  <a:t>e</a:t>
                </a:r>
                <a:r>
                  <a:rPr lang="en-US" sz="1400" b="0" i="0" baseline="0">
                    <a:effectLst/>
                  </a:rPr>
                  <a:t> = ϵ</a:t>
                </a:r>
                <a:r>
                  <a:rPr lang="en-US" sz="1400" b="0" i="0" baseline="-25000">
                    <a:effectLst/>
                  </a:rPr>
                  <a:t>e</a:t>
                </a:r>
                <a:r>
                  <a:rPr lang="en-US" sz="1400" b="0" i="0" baseline="0">
                    <a:effectLst/>
                  </a:rPr>
                  <a:t>/(R</a:t>
                </a:r>
                <a:r>
                  <a:rPr lang="en-US" sz="1400" b="0" i="0" baseline="-25000">
                    <a:effectLst/>
                  </a:rPr>
                  <a:t>ϵ</a:t>
                </a:r>
                <a:r>
                  <a:rPr lang="en-US" sz="1400" b="0" i="0" baseline="0">
                    <a:effectLst/>
                  </a:rPr>
                  <a:t>D/L</a:t>
                </a:r>
                <a:r>
                  <a:rPr lang="en-US" sz="1400" b="0" i="0" baseline="-25000">
                    <a:effectLst/>
                  </a:rPr>
                  <a:t>st</a:t>
                </a:r>
                <a:r>
                  <a:rPr lang="en-US" sz="1400" b="0" i="0" baseline="30000">
                    <a:effectLst/>
                  </a:rPr>
                  <a:t>2</a:t>
                </a:r>
                <a:r>
                  <a:rPr lang="en-US" sz="1400" b="0" i="0" baseline="0">
                    <a:effectLst/>
                  </a:rPr>
                  <a:t>)</a:t>
                </a:r>
                <a:endParaRPr lang="en-US" sz="1400">
                  <a:effectLst/>
                </a:endParaRPr>
              </a:p>
            </c:rich>
          </c:tx>
          <c:layout>
            <c:manualLayout>
              <c:xMode val="edge"/>
              <c:yMode val="edge"/>
              <c:x val="1.2786980528916013E-2"/>
              <c:y val="5.1139526362623478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466138962181183E-2"/>
          <c:y val="3.5316804407713495E-2"/>
          <c:w val="0.82575128636624906"/>
          <c:h val="0.81126721763085397"/>
        </c:manualLayout>
      </c:layout>
      <c:scatterChart>
        <c:scatterStyle val="lineMarker"/>
        <c:varyColors val="0"/>
        <c:ser>
          <c:idx val="0"/>
          <c:order val="0"/>
          <c:tx>
            <c:v>vertical component</c:v>
          </c:tx>
          <c:spPr>
            <a:ln w="19050" cap="rnd">
              <a:solidFill>
                <a:schemeClr val="accent1"/>
              </a:solidFill>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'c'!$G$277:$G$387</c:f>
              <c:numCache>
                <c:formatCode>General</c:formatCode>
                <c:ptCount val="111"/>
                <c:pt idx="0">
                  <c:v>2.3050252876728368</c:v>
                </c:pt>
                <c:pt idx="1">
                  <c:v>2.3009062540760343</c:v>
                </c:pt>
                <c:pt idx="2">
                  <c:v>2.2968018636851615</c:v>
                </c:pt>
                <c:pt idx="3">
                  <c:v>2.2927120389168598</c:v>
                </c:pt>
                <c:pt idx="4">
                  <c:v>2.2886367025308445</c:v>
                </c:pt>
                <c:pt idx="5">
                  <c:v>2.2845757778313733</c:v>
                </c:pt>
                <c:pt idx="6">
                  <c:v>2.2805291886624683</c:v>
                </c:pt>
                <c:pt idx="7">
                  <c:v>2.2764968594031791</c:v>
                </c:pt>
                <c:pt idx="8">
                  <c:v>2.2724787149628902</c:v>
                </c:pt>
                <c:pt idx="9">
                  <c:v>2.2684746807766816</c:v>
                </c:pt>
                <c:pt idx="10">
                  <c:v>2.264484682800747</c:v>
                </c:pt>
                <c:pt idx="11">
                  <c:v>2.2619313751533263</c:v>
                </c:pt>
                <c:pt idx="12">
                  <c:v>2.2204139251611705</c:v>
                </c:pt>
                <c:pt idx="13">
                  <c:v>2.1803881502207449</c:v>
                </c:pt>
                <c:pt idx="14">
                  <c:v>2.141775229574769</c:v>
                </c:pt>
                <c:pt idx="15">
                  <c:v>2.104501793693963</c:v>
                </c:pt>
                <c:pt idx="16">
                  <c:v>2.0684994613047194</c:v>
                </c:pt>
                <c:pt idx="17">
                  <c:v>2.0337044227977983</c:v>
                </c:pt>
                <c:pt idx="18">
                  <c:v>2.0000570646871245</c:v>
                </c:pt>
                <c:pt idx="19">
                  <c:v>1.9675016304766195</c:v>
                </c:pt>
                <c:pt idx="20">
                  <c:v>1.9359859138833417</c:v>
                </c:pt>
                <c:pt idx="21">
                  <c:v>1.6685784693800636</c:v>
                </c:pt>
                <c:pt idx="22">
                  <c:v>1.4659455560321808</c:v>
                </c:pt>
                <c:pt idx="23">
                  <c:v>1.3071189976222815</c:v>
                </c:pt>
                <c:pt idx="24">
                  <c:v>1.1792935798279678</c:v>
                </c:pt>
                <c:pt idx="25">
                  <c:v>1.0742085942348809</c:v>
                </c:pt>
                <c:pt idx="26">
                  <c:v>0.98629693993156453</c:v>
                </c:pt>
                <c:pt idx="27">
                  <c:v>0.9116704509063851</c:v>
                </c:pt>
                <c:pt idx="28">
                  <c:v>0.84753162461452025</c:v>
                </c:pt>
                <c:pt idx="29">
                  <c:v>0.79181642296159327</c:v>
                </c:pt>
                <c:pt idx="30">
                  <c:v>0.74296878199542904</c:v>
                </c:pt>
                <c:pt idx="31">
                  <c:v>0.69979346459483305</c:v>
                </c:pt>
                <c:pt idx="32">
                  <c:v>0.66135724603867241</c:v>
                </c:pt>
                <c:pt idx="33">
                  <c:v>0.62692087642087091</c:v>
                </c:pt>
                <c:pt idx="34">
                  <c:v>0.59589119098842369</c:v>
                </c:pt>
                <c:pt idx="35">
                  <c:v>0.5677867366293553</c:v>
                </c:pt>
                <c:pt idx="36">
                  <c:v>0.54221266496370746</c:v>
                </c:pt>
                <c:pt idx="37">
                  <c:v>0.51884210352583326</c:v>
                </c:pt>
                <c:pt idx="38">
                  <c:v>0.49740213582007969</c:v>
                </c:pt>
                <c:pt idx="39">
                  <c:v>0.47766311292072378</c:v>
                </c:pt>
                <c:pt idx="40">
                  <c:v>0.45943040838484889</c:v>
                </c:pt>
                <c:pt idx="41">
                  <c:v>0.442537988913075</c:v>
                </c:pt>
                <c:pt idx="42">
                  <c:v>0.42684335085805425</c:v>
                </c:pt>
                <c:pt idx="43">
                  <c:v>0.41222349570325606</c:v>
                </c:pt>
                <c:pt idx="44">
                  <c:v>0.3985717040685835</c:v>
                </c:pt>
                <c:pt idx="45">
                  <c:v>0.38579492934758347</c:v>
                </c:pt>
                <c:pt idx="46">
                  <c:v>0.37381167645689678</c:v>
                </c:pt>
                <c:pt idx="47">
                  <c:v>0.36255026354495801</c:v>
                </c:pt>
                <c:pt idx="48">
                  <c:v>0.35194738836925799</c:v>
                </c:pt>
                <c:pt idx="49">
                  <c:v>0.34194693882167154</c:v>
                </c:pt>
                <c:pt idx="50">
                  <c:v>0.33249900043969893</c:v>
                </c:pt>
                <c:pt idx="51">
                  <c:v>0.32355902387223395</c:v>
                </c:pt>
                <c:pt idx="52">
                  <c:v>0.31508712301535113</c:v>
                </c:pt>
                <c:pt idx="53">
                  <c:v>0.30704748050397374</c:v>
                </c:pt>
                <c:pt idx="54">
                  <c:v>0.29940784188047176</c:v>
                </c:pt>
                <c:pt idx="55">
                  <c:v>0.29213908338495148</c:v>
                </c:pt>
                <c:pt idx="56">
                  <c:v>0.28521484116365547</c:v>
                </c:pt>
                <c:pt idx="57">
                  <c:v>0.27861119194999312</c:v>
                </c:pt>
                <c:pt idx="58">
                  <c:v>0.27230637707146177</c:v>
                </c:pt>
                <c:pt idx="59">
                  <c:v>0.2662805630765821</c:v>
                </c:pt>
                <c:pt idx="60">
                  <c:v>0.26051563343638318</c:v>
                </c:pt>
                <c:pt idx="61">
                  <c:v>0.25499500671428521</c:v>
                </c:pt>
                <c:pt idx="62">
                  <c:v>0.24970347736227311</c:v>
                </c:pt>
                <c:pt idx="63">
                  <c:v>0.24462707592563185</c:v>
                </c:pt>
                <c:pt idx="64">
                  <c:v>0.2397529459510257</c:v>
                </c:pt>
                <c:pt idx="65">
                  <c:v>0.23506923531517737</c:v>
                </c:pt>
                <c:pt idx="66">
                  <c:v>0.23056500004108085</c:v>
                </c:pt>
                <c:pt idx="67">
                  <c:v>0.2262301189592367</c:v>
                </c:pt>
                <c:pt idx="68">
                  <c:v>0.22205521781373008</c:v>
                </c:pt>
                <c:pt idx="69">
                  <c:v>0.21803160161581331</c:v>
                </c:pt>
                <c:pt idx="70">
                  <c:v>0.21415119421803008</c:v>
                </c:pt>
                <c:pt idx="71">
                  <c:v>0.21040648422549496</c:v>
                </c:pt>
                <c:pt idx="72">
                  <c:v>0.20679047648232776</c:v>
                </c:pt>
                <c:pt idx="73">
                  <c:v>0.20329664847418291</c:v>
                </c:pt>
                <c:pt idx="74">
                  <c:v>0.19991891107536763</c:v>
                </c:pt>
                <c:pt idx="75">
                  <c:v>0.19665157314372722</c:v>
                </c:pt>
                <c:pt idx="76">
                  <c:v>0.19348930953036078</c:v>
                </c:pt>
                <c:pt idx="77">
                  <c:v>0.19042713212601278</c:v>
                </c:pt>
                <c:pt idx="78">
                  <c:v>0.18746036361310114</c:v>
                </c:pt>
                <c:pt idx="79">
                  <c:v>0.18458461363295045</c:v>
                </c:pt>
                <c:pt idx="80">
                  <c:v>0.18179575711288312</c:v>
                </c:pt>
                <c:pt idx="81">
                  <c:v>0.17908991452822201</c:v>
                </c:pt>
                <c:pt idx="82">
                  <c:v>0.17646343390063118</c:v>
                </c:pt>
                <c:pt idx="83">
                  <c:v>0.17391287435717948</c:v>
                </c:pt>
                <c:pt idx="84">
                  <c:v>0.17143499109451646</c:v>
                </c:pt>
                <c:pt idx="85">
                  <c:v>0.16902672161003524</c:v>
                </c:pt>
                <c:pt idx="86">
                  <c:v>0.16668517307719771</c:v>
                </c:pt>
                <c:pt idx="87">
                  <c:v>0.16440761075561686</c:v>
                </c:pt>
                <c:pt idx="88">
                  <c:v>0.16219144733828939</c:v>
                </c:pt>
                <c:pt idx="89">
                  <c:v>0.16003423314874909</c:v>
                </c:pt>
                <c:pt idx="90">
                  <c:v>0.15793364711007316</c:v>
                </c:pt>
                <c:pt idx="91">
                  <c:v>0.15588748841575725</c:v>
                </c:pt>
                <c:pt idx="92">
                  <c:v>0.1538936688396399</c:v>
                </c:pt>
                <c:pt idx="93">
                  <c:v>0.15195020562839476</c:v>
                </c:pt>
                <c:pt idx="94">
                  <c:v>0.15005521492574889</c:v>
                </c:pt>
                <c:pt idx="95">
                  <c:v>0.14820690568258965</c:v>
                </c:pt>
                <c:pt idx="96">
                  <c:v>0.14640357401158574</c:v>
                </c:pt>
                <c:pt idx="97">
                  <c:v>0.14464359794892415</c:v>
                </c:pt>
                <c:pt idx="98">
                  <c:v>0.14292543258931967</c:v>
                </c:pt>
                <c:pt idx="99">
                  <c:v>0.141247605563629</c:v>
                </c:pt>
                <c:pt idx="100">
                  <c:v>0.13960871283125023</c:v>
                </c:pt>
                <c:pt idx="101">
                  <c:v>0.13800741476203718</c:v>
                </c:pt>
                <c:pt idx="102">
                  <c:v>0.13491254448114676</c:v>
                </c:pt>
                <c:pt idx="103">
                  <c:v>0.13195343311989169</c:v>
                </c:pt>
                <c:pt idx="104">
                  <c:v>0.12912133987983249</c:v>
                </c:pt>
                <c:pt idx="105">
                  <c:v>0.12640825854212123</c:v>
                </c:pt>
                <c:pt idx="106">
                  <c:v>0.12380684188952187</c:v>
                </c:pt>
                <c:pt idx="107">
                  <c:v>0.12131033527116455</c:v>
                </c:pt>
                <c:pt idx="108">
                  <c:v>0.11891251804522984</c:v>
                </c:pt>
                <c:pt idx="109">
                  <c:v>0.1166076518308428</c:v>
                </c:pt>
                <c:pt idx="110">
                  <c:v>0.11439043466300267</c:v>
                </c:pt>
              </c:numCache>
            </c:numRef>
          </c:yVal>
          <c:smooth val="0"/>
          <c:extLst>
            <c:ext xmlns:c16="http://schemas.microsoft.com/office/drawing/2014/chart" uri="{C3380CC4-5D6E-409C-BE32-E72D297353CC}">
              <c16:uniqueId val="{00000000-961F-487C-911A-4053ECE37DA1}"/>
            </c:ext>
          </c:extLst>
        </c:ser>
        <c:ser>
          <c:idx val="1"/>
          <c:order val="1"/>
          <c:tx>
            <c:v>horizontal component</c:v>
          </c:tx>
          <c:spPr>
            <a:ln w="19050" cap="rnd">
              <a:solidFill>
                <a:schemeClr val="accent2"/>
              </a:solidFill>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'c'!$H$277:$H$387</c:f>
              <c:numCache>
                <c:formatCode>General</c:formatCode>
                <c:ptCount val="111"/>
                <c:pt idx="0">
                  <c:v>3.376844647014731E-5</c:v>
                </c:pt>
                <c:pt idx="1">
                  <c:v>0.1508488752124986</c:v>
                </c:pt>
                <c:pt idx="2">
                  <c:v>0.21309536047198388</c:v>
                </c:pt>
                <c:pt idx="3">
                  <c:v>0.260698035388095</c:v>
                </c:pt>
                <c:pt idx="4">
                  <c:v>0.30069518281378221</c:v>
                </c:pt>
                <c:pt idx="5">
                  <c:v>0.33581649622142973</c:v>
                </c:pt>
                <c:pt idx="6">
                  <c:v>0.36746366146302029</c:v>
                </c:pt>
                <c:pt idx="7">
                  <c:v>0.39647037121684048</c:v>
                </c:pt>
                <c:pt idx="8">
                  <c:v>0.42338049498425084</c:v>
                </c:pt>
                <c:pt idx="9">
                  <c:v>0.44857227673411859</c:v>
                </c:pt>
                <c:pt idx="10">
                  <c:v>0.47232145958833116</c:v>
                </c:pt>
                <c:pt idx="11">
                  <c:v>0.48690181333783011</c:v>
                </c:pt>
                <c:pt idx="12">
                  <c:v>0.68076534747875339</c:v>
                </c:pt>
                <c:pt idx="13">
                  <c:v>0.82454018234306903</c:v>
                </c:pt>
                <c:pt idx="14">
                  <c:v>0.94183025470412585</c:v>
                </c:pt>
                <c:pt idx="15">
                  <c:v>1.0419263781089729</c:v>
                </c:pt>
                <c:pt idx="16">
                  <c:v>1.1296671415674804</c:v>
                </c:pt>
                <c:pt idx="17">
                  <c:v>1.2079693726916811</c:v>
                </c:pt>
                <c:pt idx="18">
                  <c:v>1.2787601004906755</c:v>
                </c:pt>
                <c:pt idx="19">
                  <c:v>1.3433953138145451</c:v>
                </c:pt>
                <c:pt idx="20">
                  <c:v>1.4028741972923229</c:v>
                </c:pt>
                <c:pt idx="21">
                  <c:v>1.826328160416407</c:v>
                </c:pt>
                <c:pt idx="22">
                  <c:v>2.0915584045300823</c:v>
                </c:pt>
                <c:pt idx="23">
                  <c:v>2.2846005629469119</c:v>
                </c:pt>
                <c:pt idx="24">
                  <c:v>2.4375946237886663</c:v>
                </c:pt>
                <c:pt idx="25">
                  <c:v>2.5658447942210438</c:v>
                </c:pt>
                <c:pt idx="26">
                  <c:v>2.6776454605024274</c:v>
                </c:pt>
                <c:pt idx="27">
                  <c:v>2.7778904070118124</c:v>
                </c:pt>
                <c:pt idx="28">
                  <c:v>2.8696518001186879</c:v>
                </c:pt>
                <c:pt idx="29">
                  <c:v>2.9549538132796824</c:v>
                </c:pt>
                <c:pt idx="30">
                  <c:v>3.0351837102258927</c:v>
                </c:pt>
                <c:pt idx="31">
                  <c:v>3.1113242486619437</c:v>
                </c:pt>
                <c:pt idx="32">
                  <c:v>3.1840917267982038</c:v>
                </c:pt>
                <c:pt idx="33">
                  <c:v>3.2540213889072667</c:v>
                </c:pt>
                <c:pt idx="34">
                  <c:v>3.3215221090725975</c:v>
                </c:pt>
                <c:pt idx="35">
                  <c:v>3.3869124530734287</c:v>
                </c:pt>
                <c:pt idx="36">
                  <c:v>3.4504450804354381</c:v>
                </c:pt>
                <c:pt idx="37">
                  <c:v>3.5123236368820039</c:v>
                </c:pt>
                <c:pt idx="38">
                  <c:v>3.57271468849151</c:v>
                </c:pt>
                <c:pt idx="39">
                  <c:v>3.6317563088990101</c:v>
                </c:pt>
                <c:pt idx="40">
                  <c:v>3.6895643619339529</c:v>
                </c:pt>
                <c:pt idx="41">
                  <c:v>3.7462371686800839</c:v>
                </c:pt>
                <c:pt idx="42">
                  <c:v>3.8018590232775269</c:v>
                </c:pt>
                <c:pt idx="43">
                  <c:v>3.8565028759483262</c:v>
                </c:pt>
                <c:pt idx="44">
                  <c:v>3.9102324052452571</c:v>
                </c:pt>
                <c:pt idx="45">
                  <c:v>3.9631036365805921</c:v>
                </c:pt>
                <c:pt idx="46">
                  <c:v>4.0151662196774067</c:v>
                </c:pt>
                <c:pt idx="47">
                  <c:v>4.0664644467631801</c:v>
                </c:pt>
                <c:pt idx="48">
                  <c:v>4.1170380716428632</c:v>
                </c:pt>
                <c:pt idx="49">
                  <c:v>4.1669229743421479</c:v>
                </c:pt>
                <c:pt idx="50">
                  <c:v>4.2161517048778006</c:v>
                </c:pt>
                <c:pt idx="51">
                  <c:v>4.2647539315978236</c:v>
                </c:pt>
                <c:pt idx="52">
                  <c:v>4.3127568135593606</c:v>
                </c:pt>
                <c:pt idx="53">
                  <c:v>4.3601853119699525</c:v>
                </c:pt>
                <c:pt idx="54">
                  <c:v>4.4070624523843298</c:v>
                </c:pt>
                <c:pt idx="55">
                  <c:v>4.4534095468259114</c:v>
                </c:pt>
                <c:pt idx="56">
                  <c:v>4.4992463830769012</c:v>
                </c:pt>
                <c:pt idx="57">
                  <c:v>4.5445913869000378</c:v>
                </c:pt>
                <c:pt idx="58">
                  <c:v>4.5894617618078852</c:v>
                </c:pt>
                <c:pt idx="59">
                  <c:v>4.6338736101003013</c:v>
                </c:pt>
                <c:pt idx="60">
                  <c:v>4.6778420381875501</c:v>
                </c:pt>
                <c:pt idx="61">
                  <c:v>4.7213812486605837</c:v>
                </c:pt>
                <c:pt idx="62">
                  <c:v>4.7645046211277364</c:v>
                </c:pt>
                <c:pt idx="63">
                  <c:v>4.8072247834832611</c:v>
                </c:pt>
                <c:pt idx="64">
                  <c:v>4.8495536749883232</c:v>
                </c:pt>
                <c:pt idx="65">
                  <c:v>4.8915026023147119</c:v>
                </c:pt>
                <c:pt idx="66">
                  <c:v>4.933082289514112</c:v>
                </c:pt>
                <c:pt idx="67">
                  <c:v>4.9743029227226829</c:v>
                </c:pt>
                <c:pt idx="68">
                  <c:v>5.0151741902848137</c:v>
                </c:pt>
                <c:pt idx="69">
                  <c:v>5.0557053188761865</c:v>
                </c:pt>
                <c:pt idx="70">
                  <c:v>5.0959051061202194</c:v>
                </c:pt>
                <c:pt idx="71">
                  <c:v>5.1357819501203599</c:v>
                </c:pt>
                <c:pt idx="72">
                  <c:v>5.1753438762707438</c:v>
                </c:pt>
                <c:pt idx="73">
                  <c:v>5.2145985616576604</c:v>
                </c:pt>
                <c:pt idx="74">
                  <c:v>5.2535533573217386</c:v>
                </c:pt>
                <c:pt idx="75">
                  <c:v>5.2922153086150656</c:v>
                </c:pt>
                <c:pt idx="76">
                  <c:v>5.3305911738570684</c:v>
                </c:pt>
                <c:pt idx="77">
                  <c:v>5.3686874414670438</c:v>
                </c:pt>
                <c:pt idx="78">
                  <c:v>5.4065103457290951</c:v>
                </c:pt>
                <c:pt idx="79">
                  <c:v>5.4440658813263729</c:v>
                </c:pt>
                <c:pt idx="80">
                  <c:v>5.4813598167649928</c:v>
                </c:pt>
                <c:pt idx="81">
                  <c:v>5.5183977067941328</c:v>
                </c:pt>
                <c:pt idx="82">
                  <c:v>5.5551849039164614</c:v>
                </c:pt>
                <c:pt idx="83">
                  <c:v>5.591726569072569</c:v>
                </c:pt>
                <c:pt idx="84">
                  <c:v>5.6280276815737729</c:v>
                </c:pt>
                <c:pt idx="85">
                  <c:v>5.6640930483497494</c:v>
                </c:pt>
                <c:pt idx="86">
                  <c:v>5.6999273125702814</c:v>
                </c:pt>
                <c:pt idx="87">
                  <c:v>5.7355349616943228</c:v>
                </c:pt>
                <c:pt idx="88">
                  <c:v>5.7709203349941527</c:v>
                </c:pt>
                <c:pt idx="89">
                  <c:v>5.8060876305975215</c:v>
                </c:pt>
                <c:pt idx="90">
                  <c:v>5.8410409120865969</c:v>
                </c:pt>
                <c:pt idx="91">
                  <c:v>5.8757841146886607</c:v>
                </c:pt>
                <c:pt idx="92">
                  <c:v>5.9103210510902295</c:v>
                </c:pt>
                <c:pt idx="93">
                  <c:v>5.9446554169033119</c:v>
                </c:pt>
                <c:pt idx="94">
                  <c:v>5.9787907958098918</c:v>
                </c:pt>
                <c:pt idx="95">
                  <c:v>6.012730664408334</c:v>
                </c:pt>
                <c:pt idx="96">
                  <c:v>6.0464783967833542</c:v>
                </c:pt>
                <c:pt idx="97">
                  <c:v>6.0800372688192716</c:v>
                </c:pt>
                <c:pt idx="98">
                  <c:v>6.1134104622745831</c:v>
                </c:pt>
                <c:pt idx="99">
                  <c:v>6.1466010686343591</c:v>
                </c:pt>
                <c:pt idx="100">
                  <c:v>6.1796120927555993</c:v>
                </c:pt>
                <c:pt idx="101">
                  <c:v>6.2124464563194612</c:v>
                </c:pt>
                <c:pt idx="102">
                  <c:v>6.277596492082834</c:v>
                </c:pt>
                <c:pt idx="103">
                  <c:v>6.3420730060570385</c:v>
                </c:pt>
                <c:pt idx="104">
                  <c:v>6.4058966903422601</c:v>
                </c:pt>
                <c:pt idx="105">
                  <c:v>6.4690871821487876</c:v>
                </c:pt>
                <c:pt idx="106">
                  <c:v>6.5316631390968434</c:v>
                </c:pt>
                <c:pt idx="107">
                  <c:v>6.5936423075827664</c:v>
                </c:pt>
                <c:pt idx="108">
                  <c:v>6.6550415849955042</c:v>
                </c:pt>
                <c:pt idx="109">
                  <c:v>6.7158770764621059</c:v>
                </c:pt>
                <c:pt idx="110">
                  <c:v>6.7761641467122375</c:v>
                </c:pt>
              </c:numCache>
            </c:numRef>
          </c:yVal>
          <c:smooth val="0"/>
          <c:extLst>
            <c:ext xmlns:c16="http://schemas.microsoft.com/office/drawing/2014/chart" uri="{C3380CC4-5D6E-409C-BE32-E72D297353CC}">
              <c16:uniqueId val="{00000001-961F-487C-911A-4053ECE37DA1}"/>
            </c:ext>
          </c:extLst>
        </c:ser>
        <c:dLbls>
          <c:showLegendKey val="0"/>
          <c:showVal val="0"/>
          <c:showCatName val="0"/>
          <c:showSerName val="0"/>
          <c:showPercent val="0"/>
          <c:showBubbleSize val="0"/>
        </c:dLbls>
        <c:axId val="631744552"/>
        <c:axId val="631743896"/>
      </c:scatterChart>
      <c:valAx>
        <c:axId val="631744552"/>
        <c:scaling>
          <c:orientation val="minMax"/>
          <c:max val="1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a:t>Current Velocity, Uc (m/s)</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31743896"/>
        <c:crosses val="autoZero"/>
        <c:crossBetween val="midCat"/>
      </c:valAx>
      <c:valAx>
        <c:axId val="631743896"/>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a:t>Prototype Midspan</a:t>
                </a:r>
                <a:r>
                  <a:rPr lang="en-US" baseline="0"/>
                  <a:t> Deflection </a:t>
                </a:r>
                <a:r>
                  <a:rPr lang="en-US"/>
                  <a:t> (m)</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31744552"/>
        <c:crosses val="autoZero"/>
        <c:crossBetween val="midCat"/>
      </c:valAx>
      <c:spPr>
        <a:noFill/>
        <a:ln w="12700">
          <a:solidFill>
            <a:srgbClr val="808080"/>
          </a:solidFill>
          <a:prstDash val="solid"/>
        </a:ln>
        <a:effectLst/>
      </c:spPr>
    </c:plotArea>
    <c:legend>
      <c:legendPos val="r"/>
      <c:layout>
        <c:manualLayout>
          <c:xMode val="edge"/>
          <c:yMode val="edge"/>
          <c:x val="0.18584796293603142"/>
          <c:y val="0.10472831391943774"/>
          <c:w val="0.28820656652746901"/>
          <c:h val="0.11836706362117959"/>
        </c:manualLayout>
      </c:layout>
      <c:overlay val="0"/>
      <c:spPr>
        <a:solidFill>
          <a:sysClr val="window" lastClr="FFFFFF">
            <a:lumMod val="100000"/>
          </a:sysClr>
        </a:solidFill>
        <a:ln w="3175">
          <a:solidFill>
            <a:srgbClr val="C0C0C0"/>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834686858562907E-2"/>
          <c:y val="2.4349477682811017E-2"/>
          <c:w val="0.69193106746573863"/>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m!$AF$88:$AO$88</c:f>
              <c:numCache>
                <c:formatCode>General</c:formatCode>
                <c:ptCount val="10"/>
                <c:pt idx="6">
                  <c:v>1.2077756213486157</c:v>
                </c:pt>
                <c:pt idx="7">
                  <c:v>1.1056289978340066</c:v>
                </c:pt>
                <c:pt idx="8">
                  <c:v>1.0251873368791706</c:v>
                </c:pt>
                <c:pt idx="9">
                  <c:v>0.95931262586627597</c:v>
                </c:pt>
              </c:numCache>
            </c:numRef>
          </c:xVal>
          <c:yVal>
            <c:numRef>
              <c:f>m!$AF$90:$AO$90</c:f>
              <c:numCache>
                <c:formatCode>General</c:formatCode>
                <c:ptCount val="10"/>
                <c:pt idx="6">
                  <c:v>5.2324625570429388</c:v>
                </c:pt>
                <c:pt idx="7">
                  <c:v>5.3055824072041231</c:v>
                </c:pt>
                <c:pt idx="8">
                  <c:v>4.655447978393739</c:v>
                </c:pt>
                <c:pt idx="9">
                  <c:v>3.9755921812321118</c:v>
                </c:pt>
              </c:numCache>
            </c:numRef>
          </c:yVal>
          <c:smooth val="0"/>
          <c:extLst>
            <c:ext xmlns:c16="http://schemas.microsoft.com/office/drawing/2014/chart" uri="{C3380CC4-5D6E-409C-BE32-E72D297353CC}">
              <c16:uniqueId val="{00000000-68D7-4259-A273-21485649F9AD}"/>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m!$AP$88:$BL$88</c:f>
              <c:numCache>
                <c:formatCode>General</c:formatCode>
                <c:ptCount val="23"/>
                <c:pt idx="0">
                  <c:v>24.391892556467965</c:v>
                </c:pt>
                <c:pt idx="1">
                  <c:v>12.39314191041627</c:v>
                </c:pt>
                <c:pt idx="2">
                  <c:v>6.0526881112960602</c:v>
                </c:pt>
                <c:pt idx="3">
                  <c:v>3.7666895969175127</c:v>
                </c:pt>
                <c:pt idx="4">
                  <c:v>2.6785350127838461</c:v>
                </c:pt>
                <c:pt idx="6">
                  <c:v>1.8850320220016954</c:v>
                </c:pt>
                <c:pt idx="12">
                  <c:v>1.1515535876000997</c:v>
                </c:pt>
                <c:pt idx="19">
                  <c:v>16.152806707052129</c:v>
                </c:pt>
                <c:pt idx="20">
                  <c:v>8.0284894017907167</c:v>
                </c:pt>
                <c:pt idx="21">
                  <c:v>11.824562591088151</c:v>
                </c:pt>
              </c:numCache>
            </c:numRef>
          </c:xVal>
          <c:yVal>
            <c:numRef>
              <c:f>m!$AP$90:$BL$90</c:f>
              <c:numCache>
                <c:formatCode>General</c:formatCode>
                <c:ptCount val="23"/>
                <c:pt idx="0">
                  <c:v>4.062120186477582</c:v>
                </c:pt>
                <c:pt idx="1">
                  <c:v>3.1506997473427294</c:v>
                </c:pt>
                <c:pt idx="2">
                  <c:v>4.1786954227753803</c:v>
                </c:pt>
                <c:pt idx="3">
                  <c:v>4.4375395113080085</c:v>
                </c:pt>
                <c:pt idx="4">
                  <c:v>5.0795365493314559</c:v>
                </c:pt>
                <c:pt idx="6">
                  <c:v>3.7917125475365436</c:v>
                </c:pt>
                <c:pt idx="12">
                  <c:v>4.1255132431082453</c:v>
                </c:pt>
                <c:pt idx="19">
                  <c:v>3.4774946615159275</c:v>
                </c:pt>
                <c:pt idx="20">
                  <c:v>5.0096376560329396</c:v>
                </c:pt>
                <c:pt idx="21">
                  <c:v>3.3211441120706886</c:v>
                </c:pt>
              </c:numCache>
            </c:numRef>
          </c:yVal>
          <c:smooth val="0"/>
          <c:extLst>
            <c:ext xmlns:c16="http://schemas.microsoft.com/office/drawing/2014/chart" uri="{C3380CC4-5D6E-409C-BE32-E72D297353CC}">
              <c16:uniqueId val="{00000001-68D7-4259-A273-21485649F9AD}"/>
            </c:ext>
          </c:extLst>
        </c:ser>
        <c:ser>
          <c:idx val="11"/>
          <c:order val="2"/>
          <c:tx>
            <c:v>CF, Pipe 1</c:v>
          </c:tx>
          <c:spPr>
            <a:ln w="25400" cap="rnd">
              <a:noFill/>
              <a:round/>
            </a:ln>
            <a:effectLst/>
          </c:spPr>
          <c:marker>
            <c:symbol val="x"/>
            <c:size val="7"/>
            <c:spPr>
              <a:noFill/>
              <a:ln w="15875">
                <a:solidFill>
                  <a:schemeClr val="accent6"/>
                </a:solidFill>
              </a:ln>
              <a:effectLst/>
            </c:spPr>
          </c:marker>
          <c:xVal>
            <c:numRef>
              <c:f>m!$BM$88:$CO$88</c:f>
              <c:numCache>
                <c:formatCode>General</c:formatCode>
                <c:ptCount val="29"/>
                <c:pt idx="0">
                  <c:v>9.058449261180316</c:v>
                </c:pt>
                <c:pt idx="1">
                  <c:v>7.8664433508505711</c:v>
                </c:pt>
                <c:pt idx="3">
                  <c:v>30.065626016914369</c:v>
                </c:pt>
                <c:pt idx="4">
                  <c:v>22.639463651886633</c:v>
                </c:pt>
                <c:pt idx="5">
                  <c:v>16.656638164149282</c:v>
                </c:pt>
                <c:pt idx="6">
                  <c:v>15.021212136386572</c:v>
                </c:pt>
                <c:pt idx="7">
                  <c:v>13.951169656448213</c:v>
                </c:pt>
                <c:pt idx="8">
                  <c:v>13.01388949792244</c:v>
                </c:pt>
                <c:pt idx="9">
                  <c:v>11.766366373383427</c:v>
                </c:pt>
                <c:pt idx="10">
                  <c:v>11.269336129968526</c:v>
                </c:pt>
                <c:pt idx="11">
                  <c:v>11.170898139527413</c:v>
                </c:pt>
                <c:pt idx="12">
                  <c:v>11.960799378255555</c:v>
                </c:pt>
                <c:pt idx="13">
                  <c:v>27.162889586886486</c:v>
                </c:pt>
                <c:pt idx="14">
                  <c:v>12.912503702619032</c:v>
                </c:pt>
                <c:pt idx="15">
                  <c:v>12.021652336608035</c:v>
                </c:pt>
                <c:pt idx="16">
                  <c:v>11.232099961635724</c:v>
                </c:pt>
                <c:pt idx="17">
                  <c:v>11.693849947411628</c:v>
                </c:pt>
                <c:pt idx="18">
                  <c:v>11.223698400411086</c:v>
                </c:pt>
                <c:pt idx="19">
                  <c:v>10.86580831318318</c:v>
                </c:pt>
              </c:numCache>
            </c:numRef>
          </c:xVal>
          <c:yVal>
            <c:numRef>
              <c:f>m!$BM$90:$CO$90</c:f>
              <c:numCache>
                <c:formatCode>General</c:formatCode>
                <c:ptCount val="29"/>
                <c:pt idx="0">
                  <c:v>7.5372228689385867</c:v>
                </c:pt>
                <c:pt idx="1">
                  <c:v>6.7538585466501351</c:v>
                </c:pt>
                <c:pt idx="3">
                  <c:v>6.9085285216317676</c:v>
                </c:pt>
                <c:pt idx="4">
                  <c:v>8.7844808327165307</c:v>
                </c:pt>
                <c:pt idx="5">
                  <c:v>6.8815419584476922</c:v>
                </c:pt>
                <c:pt idx="6">
                  <c:v>7.0835981525221072</c:v>
                </c:pt>
                <c:pt idx="7">
                  <c:v>7.9295325649227948</c:v>
                </c:pt>
                <c:pt idx="8">
                  <c:v>6.7364402255589626</c:v>
                </c:pt>
                <c:pt idx="9">
                  <c:v>6.8873829945396192</c:v>
                </c:pt>
                <c:pt idx="10">
                  <c:v>6.0678848365387212</c:v>
                </c:pt>
                <c:pt idx="11">
                  <c:v>6.1645888533499686</c:v>
                </c:pt>
                <c:pt idx="12">
                  <c:v>5.8693943176476182</c:v>
                </c:pt>
                <c:pt idx="13">
                  <c:v>6.7850434650344518</c:v>
                </c:pt>
                <c:pt idx="14">
                  <c:v>7.2194045444036385</c:v>
                </c:pt>
                <c:pt idx="15">
                  <c:v>6.9426629376466629</c:v>
                </c:pt>
                <c:pt idx="16">
                  <c:v>5.4563023939985182</c:v>
                </c:pt>
                <c:pt idx="17">
                  <c:v>5.65606720316016</c:v>
                </c:pt>
                <c:pt idx="18">
                  <c:v>4.8338479073442899</c:v>
                </c:pt>
                <c:pt idx="19">
                  <c:v>4.8195115261323638</c:v>
                </c:pt>
              </c:numCache>
            </c:numRef>
          </c:yVal>
          <c:smooth val="0"/>
          <c:extLst>
            <c:ext xmlns:c16="http://schemas.microsoft.com/office/drawing/2014/chart" uri="{C3380CC4-5D6E-409C-BE32-E72D297353CC}">
              <c16:uniqueId val="{00000002-68D7-4259-A273-21485649F9AD}"/>
            </c:ext>
          </c:extLst>
        </c:ser>
        <c:ser>
          <c:idx val="13"/>
          <c:order val="3"/>
          <c:tx>
            <c:v>CF, Pipe 2</c:v>
          </c:tx>
          <c:spPr>
            <a:ln w="25400" cap="rnd">
              <a:noFill/>
              <a:round/>
            </a:ln>
            <a:effectLst/>
          </c:spPr>
          <c:marker>
            <c:symbol val="x"/>
            <c:size val="7"/>
            <c:spPr>
              <a:noFill/>
              <a:ln w="15875">
                <a:solidFill>
                  <a:srgbClr val="00B0F0"/>
                </a:solidFill>
              </a:ln>
              <a:effectLst/>
            </c:spPr>
          </c:marker>
          <c:xVal>
            <c:numRef>
              <c:f>m!$CP$88:$DT$88</c:f>
              <c:numCache>
                <c:formatCode>General</c:formatCode>
                <c:ptCount val="31"/>
                <c:pt idx="0">
                  <c:v>14.967634874281726</c:v>
                </c:pt>
                <c:pt idx="1">
                  <c:v>10.859495391314089</c:v>
                </c:pt>
                <c:pt idx="2">
                  <c:v>8.4563881945228196</c:v>
                </c:pt>
                <c:pt idx="3">
                  <c:v>8.0451490313237208</c:v>
                </c:pt>
                <c:pt idx="4">
                  <c:v>7.3666796900735303</c:v>
                </c:pt>
                <c:pt idx="5">
                  <c:v>6.5196411657785642</c:v>
                </c:pt>
                <c:pt idx="6">
                  <c:v>6.3301131825501749</c:v>
                </c:pt>
                <c:pt idx="7">
                  <c:v>6.8827228840656973</c:v>
                </c:pt>
                <c:pt idx="8">
                  <c:v>7.0094627058965058</c:v>
                </c:pt>
                <c:pt idx="9">
                  <c:v>6.3298791757150115</c:v>
                </c:pt>
                <c:pt idx="10">
                  <c:v>6.6780438219414266</c:v>
                </c:pt>
                <c:pt idx="11">
                  <c:v>6.5385293353880218</c:v>
                </c:pt>
                <c:pt idx="12">
                  <c:v>6.9941799281985251</c:v>
                </c:pt>
                <c:pt idx="14">
                  <c:v>6.8232928038368632</c:v>
                </c:pt>
                <c:pt idx="15">
                  <c:v>18.904292224553938</c:v>
                </c:pt>
                <c:pt idx="18">
                  <c:v>4.9032420224881452</c:v>
                </c:pt>
                <c:pt idx="19">
                  <c:v>5.154905288650987</c:v>
                </c:pt>
                <c:pt idx="20">
                  <c:v>5.408353073811563</c:v>
                </c:pt>
                <c:pt idx="21">
                  <c:v>5.6648585615667919</c:v>
                </c:pt>
                <c:pt idx="22">
                  <c:v>6.0623627952754546</c:v>
                </c:pt>
                <c:pt idx="23">
                  <c:v>57.260760259312697</c:v>
                </c:pt>
                <c:pt idx="24">
                  <c:v>26.427104906202789</c:v>
                </c:pt>
                <c:pt idx="25">
                  <c:v>40.004296051188781</c:v>
                </c:pt>
                <c:pt idx="26">
                  <c:v>19.130558061300469</c:v>
                </c:pt>
                <c:pt idx="27">
                  <c:v>29.934930652950253</c:v>
                </c:pt>
                <c:pt idx="28">
                  <c:v>2.6231064436735849</c:v>
                </c:pt>
                <c:pt idx="29">
                  <c:v>3.0770338188674491</c:v>
                </c:pt>
              </c:numCache>
            </c:numRef>
          </c:xVal>
          <c:yVal>
            <c:numRef>
              <c:f>m!$CP$90:$DT$90</c:f>
              <c:numCache>
                <c:formatCode>General</c:formatCode>
                <c:ptCount val="31"/>
                <c:pt idx="0">
                  <c:v>5.4193347671040568</c:v>
                </c:pt>
                <c:pt idx="1">
                  <c:v>6.8529805604098808</c:v>
                </c:pt>
                <c:pt idx="2">
                  <c:v>5.4979158235517529</c:v>
                </c:pt>
                <c:pt idx="3">
                  <c:v>7.4502001431439764</c:v>
                </c:pt>
                <c:pt idx="4">
                  <c:v>5.5318021576845782</c:v>
                </c:pt>
                <c:pt idx="5">
                  <c:v>5.5776637333934751</c:v>
                </c:pt>
                <c:pt idx="6">
                  <c:v>5.0590639783537945</c:v>
                </c:pt>
                <c:pt idx="7">
                  <c:v>6.8464682065829958</c:v>
                </c:pt>
                <c:pt idx="8">
                  <c:v>6.6543224390188449</c:v>
                </c:pt>
                <c:pt idx="9">
                  <c:v>5.1683830156398898</c:v>
                </c:pt>
                <c:pt idx="10">
                  <c:v>5.594990588667164</c:v>
                </c:pt>
                <c:pt idx="11">
                  <c:v>5.5691169351975658</c:v>
                </c:pt>
                <c:pt idx="12">
                  <c:v>6.2187642280426072</c:v>
                </c:pt>
                <c:pt idx="14">
                  <c:v>4.7683936504633282</c:v>
                </c:pt>
                <c:pt idx="15">
                  <c:v>6.8398595433096556</c:v>
                </c:pt>
                <c:pt idx="18">
                  <c:v>5.6245015284995121</c:v>
                </c:pt>
                <c:pt idx="19">
                  <c:v>5.8791631689856292</c:v>
                </c:pt>
                <c:pt idx="20">
                  <c:v>5.3497595958873392</c:v>
                </c:pt>
                <c:pt idx="21">
                  <c:v>5.3211634390164555</c:v>
                </c:pt>
                <c:pt idx="22">
                  <c:v>4.9082587245668545</c:v>
                </c:pt>
                <c:pt idx="23">
                  <c:v>8.1975543089896643</c:v>
                </c:pt>
                <c:pt idx="24">
                  <c:v>6.8783018648658745</c:v>
                </c:pt>
                <c:pt idx="25">
                  <c:v>8.0220992916744116</c:v>
                </c:pt>
                <c:pt idx="26">
                  <c:v>7.3674932365542176</c:v>
                </c:pt>
                <c:pt idx="27">
                  <c:v>6.412366602952301</c:v>
                </c:pt>
                <c:pt idx="28">
                  <c:v>4.9936302494679827</c:v>
                </c:pt>
                <c:pt idx="29">
                  <c:v>4.9024993379104069</c:v>
                </c:pt>
              </c:numCache>
            </c:numRef>
          </c:yVal>
          <c:smooth val="0"/>
          <c:extLst>
            <c:ext xmlns:c16="http://schemas.microsoft.com/office/drawing/2014/chart" uri="{C3380CC4-5D6E-409C-BE32-E72D297353CC}">
              <c16:uniqueId val="{00000003-68D7-4259-A273-21485649F9AD}"/>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m!$DU$88:$DX$88</c:f>
              <c:numCache>
                <c:formatCode>General</c:formatCode>
                <c:ptCount val="4"/>
                <c:pt idx="1">
                  <c:v>112.5027611445126</c:v>
                </c:pt>
              </c:numCache>
            </c:numRef>
          </c:xVal>
          <c:yVal>
            <c:numRef>
              <c:f>m!$DU$90:$DX$90</c:f>
              <c:numCache>
                <c:formatCode>General</c:formatCode>
                <c:ptCount val="4"/>
                <c:pt idx="1">
                  <c:v>7.7854864960459267</c:v>
                </c:pt>
              </c:numCache>
            </c:numRef>
          </c:yVal>
          <c:smooth val="0"/>
          <c:extLst>
            <c:ext xmlns:c16="http://schemas.microsoft.com/office/drawing/2014/chart" uri="{C3380CC4-5D6E-409C-BE32-E72D297353CC}">
              <c16:uniqueId val="{00000004-68D7-4259-A273-21485649F9AD}"/>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m!$DY$88:$EL$88</c:f>
              <c:numCache>
                <c:formatCode>General</c:formatCode>
                <c:ptCount val="14"/>
                <c:pt idx="0">
                  <c:v>387.12046526060993</c:v>
                </c:pt>
                <c:pt idx="1">
                  <c:v>109.01295409328802</c:v>
                </c:pt>
                <c:pt idx="2">
                  <c:v>80.044164274946709</c:v>
                </c:pt>
                <c:pt idx="3">
                  <c:v>69.315374934098855</c:v>
                </c:pt>
                <c:pt idx="4">
                  <c:v>56.845340825747876</c:v>
                </c:pt>
                <c:pt idx="5">
                  <c:v>52.110362557298266</c:v>
                </c:pt>
                <c:pt idx="6">
                  <c:v>51.347614683737454</c:v>
                </c:pt>
                <c:pt idx="7">
                  <c:v>43.636818151904194</c:v>
                </c:pt>
                <c:pt idx="8">
                  <c:v>29.734510695495572</c:v>
                </c:pt>
                <c:pt idx="10">
                  <c:v>28.325629332891609</c:v>
                </c:pt>
                <c:pt idx="11">
                  <c:v>32.438035866153264</c:v>
                </c:pt>
                <c:pt idx="13">
                  <c:v>25.30851824555894</c:v>
                </c:pt>
              </c:numCache>
            </c:numRef>
          </c:xVal>
          <c:yVal>
            <c:numRef>
              <c:f>m!$DY$90:$EL$90</c:f>
              <c:numCache>
                <c:formatCode>General</c:formatCode>
                <c:ptCount val="14"/>
                <c:pt idx="0">
                  <c:v>9.9126672667002698</c:v>
                </c:pt>
                <c:pt idx="1">
                  <c:v>7.8833702476357796</c:v>
                </c:pt>
                <c:pt idx="2">
                  <c:v>7.4410449669162775</c:v>
                </c:pt>
                <c:pt idx="3">
                  <c:v>8.5277178745003859</c:v>
                </c:pt>
                <c:pt idx="4">
                  <c:v>6.6819444392548633</c:v>
                </c:pt>
                <c:pt idx="5">
                  <c:v>8.1725146024073823</c:v>
                </c:pt>
                <c:pt idx="6">
                  <c:v>7.8396125218769326</c:v>
                </c:pt>
                <c:pt idx="7">
                  <c:v>6.52021451328359</c:v>
                </c:pt>
                <c:pt idx="8">
                  <c:v>8.0022562475030163</c:v>
                </c:pt>
                <c:pt idx="10">
                  <c:v>6.8727735020532252</c:v>
                </c:pt>
                <c:pt idx="11">
                  <c:v>6.7032176997414767</c:v>
                </c:pt>
                <c:pt idx="13">
                  <c:v>6.1343399695379084</c:v>
                </c:pt>
              </c:numCache>
            </c:numRef>
          </c:yVal>
          <c:smooth val="0"/>
          <c:extLst>
            <c:ext xmlns:c16="http://schemas.microsoft.com/office/drawing/2014/chart" uri="{C3380CC4-5D6E-409C-BE32-E72D297353CC}">
              <c16:uniqueId val="{00000005-68D7-4259-A273-21485649F9AD}"/>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m!$AF$88:$AO$88</c:f>
              <c:numCache>
                <c:formatCode>General</c:formatCode>
                <c:ptCount val="10"/>
                <c:pt idx="6">
                  <c:v>1.2077756213486157</c:v>
                </c:pt>
                <c:pt idx="7">
                  <c:v>1.1056289978340066</c:v>
                </c:pt>
                <c:pt idx="8">
                  <c:v>1.0251873368791706</c:v>
                </c:pt>
                <c:pt idx="9">
                  <c:v>0.95931262586627597</c:v>
                </c:pt>
              </c:numCache>
            </c:numRef>
          </c:xVal>
          <c:yVal>
            <c:numRef>
              <c:f>m!$AF$91:$AO$91</c:f>
              <c:numCache>
                <c:formatCode>General</c:formatCode>
                <c:ptCount val="10"/>
                <c:pt idx="6">
                  <c:v>3.9502776072221706</c:v>
                </c:pt>
                <c:pt idx="7">
                  <c:v>3.8204481933278442</c:v>
                </c:pt>
                <c:pt idx="8">
                  <c:v>2.8990463053331168</c:v>
                </c:pt>
                <c:pt idx="9">
                  <c:v>3.0460998559525874</c:v>
                </c:pt>
              </c:numCache>
            </c:numRef>
          </c:yVal>
          <c:smooth val="0"/>
          <c:extLst>
            <c:ext xmlns:c16="http://schemas.microsoft.com/office/drawing/2014/chart" uri="{C3380CC4-5D6E-409C-BE32-E72D297353CC}">
              <c16:uniqueId val="{00000006-68D7-4259-A273-21485649F9AD}"/>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m!$AP$88:$BL$88</c:f>
              <c:numCache>
                <c:formatCode>General</c:formatCode>
                <c:ptCount val="23"/>
                <c:pt idx="0">
                  <c:v>24.391892556467965</c:v>
                </c:pt>
                <c:pt idx="1">
                  <c:v>12.39314191041627</c:v>
                </c:pt>
                <c:pt idx="2">
                  <c:v>6.0526881112960602</c:v>
                </c:pt>
                <c:pt idx="3">
                  <c:v>3.7666895969175127</c:v>
                </c:pt>
                <c:pt idx="4">
                  <c:v>2.6785350127838461</c:v>
                </c:pt>
                <c:pt idx="6">
                  <c:v>1.8850320220016954</c:v>
                </c:pt>
                <c:pt idx="12">
                  <c:v>1.1515535876000997</c:v>
                </c:pt>
                <c:pt idx="19">
                  <c:v>16.152806707052129</c:v>
                </c:pt>
                <c:pt idx="20">
                  <c:v>8.0284894017907167</c:v>
                </c:pt>
                <c:pt idx="21">
                  <c:v>11.824562591088151</c:v>
                </c:pt>
              </c:numCache>
            </c:numRef>
          </c:xVal>
          <c:yVal>
            <c:numRef>
              <c:f>m!$AP$91:$BL$91</c:f>
              <c:numCache>
                <c:formatCode>General</c:formatCode>
                <c:ptCount val="23"/>
                <c:pt idx="0">
                  <c:v>3.9015319384578984</c:v>
                </c:pt>
                <c:pt idx="1">
                  <c:v>4.0324241551015083</c:v>
                </c:pt>
                <c:pt idx="2">
                  <c:v>2.4087539710783048</c:v>
                </c:pt>
                <c:pt idx="3">
                  <c:v>2.5988468550675954</c:v>
                </c:pt>
                <c:pt idx="4">
                  <c:v>2.4975377660733624</c:v>
                </c:pt>
                <c:pt idx="6">
                  <c:v>2.4940490859525726</c:v>
                </c:pt>
                <c:pt idx="12">
                  <c:v>2.077389993099553</c:v>
                </c:pt>
                <c:pt idx="19">
                  <c:v>3.887685418105959</c:v>
                </c:pt>
                <c:pt idx="20">
                  <c:v>3.0668865507265997</c:v>
                </c:pt>
                <c:pt idx="21">
                  <c:v>4.0491103337392174</c:v>
                </c:pt>
              </c:numCache>
            </c:numRef>
          </c:yVal>
          <c:smooth val="0"/>
          <c:extLst>
            <c:ext xmlns:c16="http://schemas.microsoft.com/office/drawing/2014/chart" uri="{C3380CC4-5D6E-409C-BE32-E72D297353CC}">
              <c16:uniqueId val="{00000007-68D7-4259-A273-21485649F9AD}"/>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m!$BM$88:$CO$88</c:f>
              <c:numCache>
                <c:formatCode>General</c:formatCode>
                <c:ptCount val="29"/>
                <c:pt idx="0">
                  <c:v>9.058449261180316</c:v>
                </c:pt>
                <c:pt idx="1">
                  <c:v>7.8664433508505711</c:v>
                </c:pt>
                <c:pt idx="3">
                  <c:v>30.065626016914369</c:v>
                </c:pt>
                <c:pt idx="4">
                  <c:v>22.639463651886633</c:v>
                </c:pt>
                <c:pt idx="5">
                  <c:v>16.656638164149282</c:v>
                </c:pt>
                <c:pt idx="6">
                  <c:v>15.021212136386572</c:v>
                </c:pt>
                <c:pt idx="7">
                  <c:v>13.951169656448213</c:v>
                </c:pt>
                <c:pt idx="8">
                  <c:v>13.01388949792244</c:v>
                </c:pt>
                <c:pt idx="9">
                  <c:v>11.766366373383427</c:v>
                </c:pt>
                <c:pt idx="10">
                  <c:v>11.269336129968526</c:v>
                </c:pt>
                <c:pt idx="11">
                  <c:v>11.170898139527413</c:v>
                </c:pt>
                <c:pt idx="12">
                  <c:v>11.960799378255555</c:v>
                </c:pt>
                <c:pt idx="13">
                  <c:v>27.162889586886486</c:v>
                </c:pt>
                <c:pt idx="14">
                  <c:v>12.912503702619032</c:v>
                </c:pt>
                <c:pt idx="15">
                  <c:v>12.021652336608035</c:v>
                </c:pt>
                <c:pt idx="16">
                  <c:v>11.232099961635724</c:v>
                </c:pt>
                <c:pt idx="17">
                  <c:v>11.693849947411628</c:v>
                </c:pt>
                <c:pt idx="18">
                  <c:v>11.223698400411086</c:v>
                </c:pt>
                <c:pt idx="19">
                  <c:v>10.86580831318318</c:v>
                </c:pt>
              </c:numCache>
            </c:numRef>
          </c:xVal>
          <c:yVal>
            <c:numRef>
              <c:f>m!$BM$91:$CO$91</c:f>
              <c:numCache>
                <c:formatCode>General</c:formatCode>
                <c:ptCount val="29"/>
                <c:pt idx="0">
                  <c:v>5.6967108509424049</c:v>
                </c:pt>
                <c:pt idx="1">
                  <c:v>6.5764190171402976</c:v>
                </c:pt>
                <c:pt idx="3">
                  <c:v>5.968040531828132</c:v>
                </c:pt>
                <c:pt idx="4">
                  <c:v>8.1684741974599575</c:v>
                </c:pt>
                <c:pt idx="5">
                  <c:v>5.8007139352102666</c:v>
                </c:pt>
                <c:pt idx="6">
                  <c:v>6.0918131305765044</c:v>
                </c:pt>
                <c:pt idx="7">
                  <c:v>8.1174980313774423</c:v>
                </c:pt>
                <c:pt idx="8">
                  <c:v>6.4312736308774889</c:v>
                </c:pt>
                <c:pt idx="9">
                  <c:v>6.3480129336212183</c:v>
                </c:pt>
                <c:pt idx="10">
                  <c:v>5.821324467772973</c:v>
                </c:pt>
                <c:pt idx="11">
                  <c:v>5.7088959001580211</c:v>
                </c:pt>
                <c:pt idx="12">
                  <c:v>5.7910267374423983</c:v>
                </c:pt>
                <c:pt idx="13">
                  <c:v>5.7614092633504805</c:v>
                </c:pt>
                <c:pt idx="14">
                  <c:v>7.0551494435079265</c:v>
                </c:pt>
                <c:pt idx="15">
                  <c:v>6.007268732546347</c:v>
                </c:pt>
                <c:pt idx="16">
                  <c:v>5.930704023686789</c:v>
                </c:pt>
                <c:pt idx="17">
                  <c:v>5.5628819216625125</c:v>
                </c:pt>
                <c:pt idx="18">
                  <c:v>5.362533094226932</c:v>
                </c:pt>
                <c:pt idx="19">
                  <c:v>5.2407446165760785</c:v>
                </c:pt>
              </c:numCache>
            </c:numRef>
          </c:yVal>
          <c:smooth val="0"/>
          <c:extLst>
            <c:ext xmlns:c16="http://schemas.microsoft.com/office/drawing/2014/chart" uri="{C3380CC4-5D6E-409C-BE32-E72D297353CC}">
              <c16:uniqueId val="{00000008-68D7-4259-A273-21485649F9AD}"/>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m!$CP$88:$DT$88</c:f>
              <c:numCache>
                <c:formatCode>General</c:formatCode>
                <c:ptCount val="31"/>
                <c:pt idx="0">
                  <c:v>14.967634874281726</c:v>
                </c:pt>
                <c:pt idx="1">
                  <c:v>10.859495391314089</c:v>
                </c:pt>
                <c:pt idx="2">
                  <c:v>8.4563881945228196</c:v>
                </c:pt>
                <c:pt idx="3">
                  <c:v>8.0451490313237208</c:v>
                </c:pt>
                <c:pt idx="4">
                  <c:v>7.3666796900735303</c:v>
                </c:pt>
                <c:pt idx="5">
                  <c:v>6.5196411657785642</c:v>
                </c:pt>
                <c:pt idx="6">
                  <c:v>6.3301131825501749</c:v>
                </c:pt>
                <c:pt idx="7">
                  <c:v>6.8827228840656973</c:v>
                </c:pt>
                <c:pt idx="8">
                  <c:v>7.0094627058965058</c:v>
                </c:pt>
                <c:pt idx="9">
                  <c:v>6.3298791757150115</c:v>
                </c:pt>
                <c:pt idx="10">
                  <c:v>6.6780438219414266</c:v>
                </c:pt>
                <c:pt idx="11">
                  <c:v>6.5385293353880218</c:v>
                </c:pt>
                <c:pt idx="12">
                  <c:v>6.9941799281985251</c:v>
                </c:pt>
                <c:pt idx="14">
                  <c:v>6.8232928038368632</c:v>
                </c:pt>
                <c:pt idx="15">
                  <c:v>18.904292224553938</c:v>
                </c:pt>
                <c:pt idx="18">
                  <c:v>4.9032420224881452</c:v>
                </c:pt>
                <c:pt idx="19">
                  <c:v>5.154905288650987</c:v>
                </c:pt>
                <c:pt idx="20">
                  <c:v>5.408353073811563</c:v>
                </c:pt>
                <c:pt idx="21">
                  <c:v>5.6648585615667919</c:v>
                </c:pt>
                <c:pt idx="22">
                  <c:v>6.0623627952754546</c:v>
                </c:pt>
                <c:pt idx="23">
                  <c:v>57.260760259312697</c:v>
                </c:pt>
                <c:pt idx="24">
                  <c:v>26.427104906202789</c:v>
                </c:pt>
                <c:pt idx="25">
                  <c:v>40.004296051188781</c:v>
                </c:pt>
                <c:pt idx="26">
                  <c:v>19.130558061300469</c:v>
                </c:pt>
                <c:pt idx="27">
                  <c:v>29.934930652950253</c:v>
                </c:pt>
                <c:pt idx="28">
                  <c:v>2.6231064436735849</c:v>
                </c:pt>
                <c:pt idx="29">
                  <c:v>3.0770338188674491</c:v>
                </c:pt>
              </c:numCache>
            </c:numRef>
          </c:xVal>
          <c:yVal>
            <c:numRef>
              <c:f>m!$CP$91:$DT$91</c:f>
              <c:numCache>
                <c:formatCode>General</c:formatCode>
                <c:ptCount val="31"/>
                <c:pt idx="0">
                  <c:v>4.5300019054238749</c:v>
                </c:pt>
                <c:pt idx="1">
                  <c:v>4.5178025027989275</c:v>
                </c:pt>
                <c:pt idx="2">
                  <c:v>3.3950746364407207</c:v>
                </c:pt>
                <c:pt idx="3">
                  <c:v>5.7763007234186681</c:v>
                </c:pt>
                <c:pt idx="4">
                  <c:v>4.3065710023871615</c:v>
                </c:pt>
                <c:pt idx="5">
                  <c:v>3.8827381995634402</c:v>
                </c:pt>
                <c:pt idx="6">
                  <c:v>3.2487249458002383</c:v>
                </c:pt>
                <c:pt idx="7">
                  <c:v>5.3426987492817899</c:v>
                </c:pt>
                <c:pt idx="8">
                  <c:v>5.6472978874878201</c:v>
                </c:pt>
                <c:pt idx="9">
                  <c:v>4.1587397095032008</c:v>
                </c:pt>
                <c:pt idx="10">
                  <c:v>4.7838482341628046</c:v>
                </c:pt>
                <c:pt idx="11">
                  <c:v>4.9225301746781893</c:v>
                </c:pt>
                <c:pt idx="12">
                  <c:v>4.8966046339725624</c:v>
                </c:pt>
                <c:pt idx="14">
                  <c:v>3.9966525665694972</c:v>
                </c:pt>
                <c:pt idx="15">
                  <c:v>4.6938071324304609</c:v>
                </c:pt>
                <c:pt idx="18">
                  <c:v>5.0267580592225674</c:v>
                </c:pt>
                <c:pt idx="19">
                  <c:v>4.6038320806672992</c:v>
                </c:pt>
                <c:pt idx="20">
                  <c:v>5.2977799679061315</c:v>
                </c:pt>
                <c:pt idx="21">
                  <c:v>4.5548018302270039</c:v>
                </c:pt>
                <c:pt idx="22">
                  <c:v>4.4326497440326262</c:v>
                </c:pt>
                <c:pt idx="23">
                  <c:v>6.7354522978189433</c:v>
                </c:pt>
                <c:pt idx="24">
                  <c:v>5.5850136200566656</c:v>
                </c:pt>
                <c:pt idx="25">
                  <c:v>5.4551141788760695</c:v>
                </c:pt>
                <c:pt idx="26">
                  <c:v>4.9167729735368271</c:v>
                </c:pt>
                <c:pt idx="27">
                  <c:v>4.8519257534729014</c:v>
                </c:pt>
                <c:pt idx="28">
                  <c:v>4.7537157090149353</c:v>
                </c:pt>
                <c:pt idx="29">
                  <c:v>4.327704405636295</c:v>
                </c:pt>
              </c:numCache>
            </c:numRef>
          </c:yVal>
          <c:smooth val="0"/>
          <c:extLst>
            <c:ext xmlns:c16="http://schemas.microsoft.com/office/drawing/2014/chart" uri="{C3380CC4-5D6E-409C-BE32-E72D297353CC}">
              <c16:uniqueId val="{00000009-68D7-4259-A273-21485649F9AD}"/>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m!$DU$88:$DX$88</c:f>
              <c:numCache>
                <c:formatCode>General</c:formatCode>
                <c:ptCount val="4"/>
                <c:pt idx="1">
                  <c:v>112.5027611445126</c:v>
                </c:pt>
              </c:numCache>
            </c:numRef>
          </c:xVal>
          <c:yVal>
            <c:numRef>
              <c:f>m!$DU$91:$DX$91</c:f>
              <c:numCache>
                <c:formatCode>General</c:formatCode>
                <c:ptCount val="4"/>
                <c:pt idx="1">
                  <c:v>5.9805420003862961</c:v>
                </c:pt>
              </c:numCache>
            </c:numRef>
          </c:yVal>
          <c:smooth val="0"/>
          <c:extLst>
            <c:ext xmlns:c16="http://schemas.microsoft.com/office/drawing/2014/chart" uri="{C3380CC4-5D6E-409C-BE32-E72D297353CC}">
              <c16:uniqueId val="{0000000A-68D7-4259-A273-21485649F9AD}"/>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m!$DY$88:$EL$88</c:f>
              <c:numCache>
                <c:formatCode>General</c:formatCode>
                <c:ptCount val="14"/>
                <c:pt idx="0">
                  <c:v>387.12046526060993</c:v>
                </c:pt>
                <c:pt idx="1">
                  <c:v>109.01295409328802</c:v>
                </c:pt>
                <c:pt idx="2">
                  <c:v>80.044164274946709</c:v>
                </c:pt>
                <c:pt idx="3">
                  <c:v>69.315374934098855</c:v>
                </c:pt>
                <c:pt idx="4">
                  <c:v>56.845340825747876</c:v>
                </c:pt>
                <c:pt idx="5">
                  <c:v>52.110362557298266</c:v>
                </c:pt>
                <c:pt idx="6">
                  <c:v>51.347614683737454</c:v>
                </c:pt>
                <c:pt idx="7">
                  <c:v>43.636818151904194</c:v>
                </c:pt>
                <c:pt idx="8">
                  <c:v>29.734510695495572</c:v>
                </c:pt>
                <c:pt idx="10">
                  <c:v>28.325629332891609</c:v>
                </c:pt>
                <c:pt idx="11">
                  <c:v>32.438035866153264</c:v>
                </c:pt>
                <c:pt idx="13">
                  <c:v>25.30851824555894</c:v>
                </c:pt>
              </c:numCache>
            </c:numRef>
          </c:xVal>
          <c:yVal>
            <c:numRef>
              <c:f>m!$DY$91:$EL$91</c:f>
              <c:numCache>
                <c:formatCode>General</c:formatCode>
                <c:ptCount val="14"/>
                <c:pt idx="0">
                  <c:v>5.9773958684019037</c:v>
                </c:pt>
                <c:pt idx="1">
                  <c:v>5.8402406967730096</c:v>
                </c:pt>
                <c:pt idx="2">
                  <c:v>6.3259605248394033</c:v>
                </c:pt>
                <c:pt idx="3">
                  <c:v>7.7415138100193532</c:v>
                </c:pt>
                <c:pt idx="4">
                  <c:v>6.155654344805801</c:v>
                </c:pt>
                <c:pt idx="5">
                  <c:v>6.1121726207461435</c:v>
                </c:pt>
                <c:pt idx="6">
                  <c:v>6.157519329771306</c:v>
                </c:pt>
                <c:pt idx="7">
                  <c:v>5.4328051641445443</c:v>
                </c:pt>
                <c:pt idx="8">
                  <c:v>6.3578452876193943</c:v>
                </c:pt>
                <c:pt idx="10">
                  <c:v>5.2365612840392179</c:v>
                </c:pt>
                <c:pt idx="11">
                  <c:v>5.1665061144228064</c:v>
                </c:pt>
                <c:pt idx="13">
                  <c:v>5.0320384230931241</c:v>
                </c:pt>
              </c:numCache>
            </c:numRef>
          </c:yVal>
          <c:smooth val="0"/>
          <c:extLst>
            <c:ext xmlns:c16="http://schemas.microsoft.com/office/drawing/2014/chart" uri="{C3380CC4-5D6E-409C-BE32-E72D297353CC}">
              <c16:uniqueId val="{0000000B-68D7-4259-A273-21485649F9AD}"/>
            </c:ext>
          </c:extLst>
        </c:ser>
        <c:dLbls>
          <c:showLegendKey val="0"/>
          <c:showVal val="0"/>
          <c:showCatName val="0"/>
          <c:showSerName val="0"/>
          <c:showPercent val="0"/>
          <c:showBubbleSize val="0"/>
        </c:dLbls>
        <c:axId val="624399680"/>
        <c:axId val="624400008"/>
        <c:extLst/>
      </c:scatterChart>
      <c:valAx>
        <c:axId val="624399680"/>
        <c:scaling>
          <c:logBase val="10"/>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Normalized Effective Axial Force, Ñ = NL</a:t>
                </a:r>
                <a:r>
                  <a:rPr lang="en-US" sz="1400" b="0" i="0" u="none" strike="noStrike" baseline="-25000">
                    <a:effectLst/>
                  </a:rPr>
                  <a:t>st</a:t>
                </a:r>
                <a:r>
                  <a:rPr lang="en-US" sz="1400" b="0" i="0" u="none" strike="noStrike" baseline="30000">
                    <a:effectLst/>
                  </a:rPr>
                  <a:t>2</a:t>
                </a:r>
                <a:r>
                  <a:rPr lang="en-US" sz="1400" b="0" i="0" u="none" strike="noStrike" baseline="0">
                    <a:effectLst/>
                  </a:rPr>
                  <a:t>/(π</a:t>
                </a:r>
                <a:r>
                  <a:rPr lang="en-US" sz="1400" b="0" i="0" u="none" strike="noStrike" baseline="30000">
                    <a:effectLst/>
                  </a:rPr>
                  <a:t>2</a:t>
                </a:r>
                <a:r>
                  <a:rPr lang="en-US" sz="1400" b="0" i="0" u="none" strike="noStrike" baseline="0">
                    <a:effectLst/>
                  </a:rPr>
                  <a:t> EI)</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Normalized Dynamic bending strain amplitude,  ϵ̃ = ϵ/[(R</a:t>
                </a:r>
                <a:r>
                  <a:rPr lang="en-US" sz="1400" b="0" i="0" u="none" strike="noStrike" baseline="-25000">
                    <a:effectLst/>
                  </a:rPr>
                  <a:t>ϵ</a:t>
                </a:r>
                <a:r>
                  <a:rPr lang="en-US" sz="1400" b="0" i="0" u="none" strike="noStrike" baseline="0">
                    <a:effectLst/>
                  </a:rPr>
                  <a:t> D)/ L</a:t>
                </a:r>
                <a:r>
                  <a:rPr lang="en-US" sz="1400" b="0" i="0" u="none" strike="noStrike" baseline="-25000">
                    <a:effectLst/>
                  </a:rPr>
                  <a:t>st</a:t>
                </a:r>
                <a:r>
                  <a:rPr lang="en-US" sz="1400" b="0" i="0" u="none" strike="noStrike" baseline="30000">
                    <a:effectLst/>
                  </a:rPr>
                  <a:t>2</a:t>
                </a:r>
                <a:r>
                  <a:rPr lang="en-US" sz="1400" b="0" i="0" u="none" strike="noStrike" baseline="0">
                    <a:effectLst/>
                  </a:rPr>
                  <a:t>]</a:t>
                </a:r>
                <a:endParaRPr lang="en-US"/>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m!$AF$88:$AO$88</c:f>
              <c:numCache>
                <c:formatCode>General</c:formatCode>
                <c:ptCount val="10"/>
                <c:pt idx="6">
                  <c:v>1.2077756213486157</c:v>
                </c:pt>
                <c:pt idx="7">
                  <c:v>1.1056289978340066</c:v>
                </c:pt>
                <c:pt idx="8">
                  <c:v>1.0251873368791706</c:v>
                </c:pt>
                <c:pt idx="9">
                  <c:v>0.95931262586627597</c:v>
                </c:pt>
              </c:numCache>
            </c:numRef>
          </c:xVal>
          <c:yVal>
            <c:numRef>
              <c:f>m!$AF$95:$AO$95</c:f>
              <c:numCache>
                <c:formatCode>General</c:formatCode>
                <c:ptCount val="10"/>
                <c:pt idx="6">
                  <c:v>6.0414806166082506</c:v>
                </c:pt>
                <c:pt idx="7">
                  <c:v>6.1292359928204512</c:v>
                </c:pt>
                <c:pt idx="8">
                  <c:v>5.2848958185987494</c:v>
                </c:pt>
                <c:pt idx="9">
                  <c:v>4.2979154085934459</c:v>
                </c:pt>
              </c:numCache>
            </c:numRef>
          </c:yVal>
          <c:smooth val="0"/>
          <c:extLst>
            <c:ext xmlns:c16="http://schemas.microsoft.com/office/drawing/2014/chart" uri="{C3380CC4-5D6E-409C-BE32-E72D297353CC}">
              <c16:uniqueId val="{00000000-DA27-477F-8D4B-139872252E9B}"/>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m!$AP$88:$BL$88</c:f>
              <c:numCache>
                <c:formatCode>General</c:formatCode>
                <c:ptCount val="23"/>
                <c:pt idx="0">
                  <c:v>24.391892556467965</c:v>
                </c:pt>
                <c:pt idx="1">
                  <c:v>12.39314191041627</c:v>
                </c:pt>
                <c:pt idx="2">
                  <c:v>6.0526881112960602</c:v>
                </c:pt>
                <c:pt idx="3">
                  <c:v>3.7666895969175127</c:v>
                </c:pt>
                <c:pt idx="4">
                  <c:v>2.6785350127838461</c:v>
                </c:pt>
                <c:pt idx="6">
                  <c:v>1.8850320220016954</c:v>
                </c:pt>
                <c:pt idx="12">
                  <c:v>1.1515535876000997</c:v>
                </c:pt>
                <c:pt idx="19">
                  <c:v>16.152806707052129</c:v>
                </c:pt>
                <c:pt idx="20">
                  <c:v>8.0284894017907167</c:v>
                </c:pt>
                <c:pt idx="21">
                  <c:v>11.824562591088151</c:v>
                </c:pt>
              </c:numCache>
            </c:numRef>
          </c:xVal>
          <c:yVal>
            <c:numRef>
              <c:f>m!$AP$95:$BL$95</c:f>
              <c:numCache>
                <c:formatCode>General</c:formatCode>
                <c:ptCount val="23"/>
                <c:pt idx="0">
                  <c:v>5.0532147082786567</c:v>
                </c:pt>
                <c:pt idx="1">
                  <c:v>3.6133175421953494</c:v>
                </c:pt>
                <c:pt idx="2">
                  <c:v>4.4434942874585293</c:v>
                </c:pt>
                <c:pt idx="3">
                  <c:v>4.9154385147601225</c:v>
                </c:pt>
                <c:pt idx="4">
                  <c:v>5.3963977447979259</c:v>
                </c:pt>
                <c:pt idx="6">
                  <c:v>3.52255142553093</c:v>
                </c:pt>
                <c:pt idx="12">
                  <c:v>4.1401928182528742</c:v>
                </c:pt>
                <c:pt idx="19">
                  <c:v>4.490854651714832</c:v>
                </c:pt>
                <c:pt idx="20">
                  <c:v>4.8959517967458943</c:v>
                </c:pt>
                <c:pt idx="21">
                  <c:v>3.8939295934451761</c:v>
                </c:pt>
              </c:numCache>
            </c:numRef>
          </c:yVal>
          <c:smooth val="0"/>
          <c:extLst>
            <c:ext xmlns:c16="http://schemas.microsoft.com/office/drawing/2014/chart" uri="{C3380CC4-5D6E-409C-BE32-E72D297353CC}">
              <c16:uniqueId val="{00000001-DA27-477F-8D4B-139872252E9B}"/>
            </c:ext>
          </c:extLst>
        </c:ser>
        <c:ser>
          <c:idx val="11"/>
          <c:order val="2"/>
          <c:tx>
            <c:v>CF, Pipe 1</c:v>
          </c:tx>
          <c:spPr>
            <a:ln w="25400" cap="rnd">
              <a:noFill/>
              <a:round/>
            </a:ln>
            <a:effectLst/>
          </c:spPr>
          <c:marker>
            <c:symbol val="x"/>
            <c:size val="7"/>
            <c:spPr>
              <a:noFill/>
              <a:ln w="15875">
                <a:solidFill>
                  <a:schemeClr val="accent6"/>
                </a:solidFill>
              </a:ln>
              <a:effectLst/>
            </c:spPr>
          </c:marker>
          <c:xVal>
            <c:numRef>
              <c:f>m!$BM$88:$CO$88</c:f>
              <c:numCache>
                <c:formatCode>General</c:formatCode>
                <c:ptCount val="29"/>
                <c:pt idx="0">
                  <c:v>9.058449261180316</c:v>
                </c:pt>
                <c:pt idx="1">
                  <c:v>7.8664433508505711</c:v>
                </c:pt>
                <c:pt idx="3">
                  <c:v>30.065626016914369</c:v>
                </c:pt>
                <c:pt idx="4">
                  <c:v>22.639463651886633</c:v>
                </c:pt>
                <c:pt idx="5">
                  <c:v>16.656638164149282</c:v>
                </c:pt>
                <c:pt idx="6">
                  <c:v>15.021212136386572</c:v>
                </c:pt>
                <c:pt idx="7">
                  <c:v>13.951169656448213</c:v>
                </c:pt>
                <c:pt idx="8">
                  <c:v>13.01388949792244</c:v>
                </c:pt>
                <c:pt idx="9">
                  <c:v>11.766366373383427</c:v>
                </c:pt>
                <c:pt idx="10">
                  <c:v>11.269336129968526</c:v>
                </c:pt>
                <c:pt idx="11">
                  <c:v>11.170898139527413</c:v>
                </c:pt>
                <c:pt idx="12">
                  <c:v>11.960799378255555</c:v>
                </c:pt>
                <c:pt idx="13">
                  <c:v>27.162889586886486</c:v>
                </c:pt>
                <c:pt idx="14">
                  <c:v>12.912503702619032</c:v>
                </c:pt>
                <c:pt idx="15">
                  <c:v>12.021652336608035</c:v>
                </c:pt>
                <c:pt idx="16">
                  <c:v>11.232099961635724</c:v>
                </c:pt>
                <c:pt idx="17">
                  <c:v>11.693849947411628</c:v>
                </c:pt>
                <c:pt idx="18">
                  <c:v>11.223698400411086</c:v>
                </c:pt>
                <c:pt idx="19">
                  <c:v>10.86580831318318</c:v>
                </c:pt>
              </c:numCache>
            </c:numRef>
          </c:xVal>
          <c:yVal>
            <c:numRef>
              <c:f>m!$BM$95:$CO$95</c:f>
              <c:numCache>
                <c:formatCode>General</c:formatCode>
                <c:ptCount val="29"/>
                <c:pt idx="0">
                  <c:v>10.120470713192889</c:v>
                </c:pt>
                <c:pt idx="1">
                  <c:v>8.9453772336192614</c:v>
                </c:pt>
                <c:pt idx="3">
                  <c:v>10.611578666711525</c:v>
                </c:pt>
                <c:pt idx="4">
                  <c:v>13.484969152564005</c:v>
                </c:pt>
                <c:pt idx="5">
                  <c:v>9.6684949677469909</c:v>
                </c:pt>
                <c:pt idx="6">
                  <c:v>10.056504925363537</c:v>
                </c:pt>
                <c:pt idx="7">
                  <c:v>11.387889643620143</c:v>
                </c:pt>
                <c:pt idx="8">
                  <c:v>9.5704123434084227</c:v>
                </c:pt>
                <c:pt idx="9">
                  <c:v>9.3655475104383363</c:v>
                </c:pt>
                <c:pt idx="10">
                  <c:v>7.9975610372982713</c:v>
                </c:pt>
                <c:pt idx="11">
                  <c:v>8.2532209331067783</c:v>
                </c:pt>
                <c:pt idx="12">
                  <c:v>7.954322186490991</c:v>
                </c:pt>
                <c:pt idx="13">
                  <c:v>10.007795801208351</c:v>
                </c:pt>
                <c:pt idx="14">
                  <c:v>9.8621963860643529</c:v>
                </c:pt>
                <c:pt idx="15">
                  <c:v>9.4519747608689038</c:v>
                </c:pt>
                <c:pt idx="16">
                  <c:v>7.5048349972577322</c:v>
                </c:pt>
                <c:pt idx="17">
                  <c:v>7.5765537722697776</c:v>
                </c:pt>
                <c:pt idx="18">
                  <c:v>6.4600890770907728</c:v>
                </c:pt>
                <c:pt idx="19">
                  <c:v>6.3590149916729768</c:v>
                </c:pt>
              </c:numCache>
            </c:numRef>
          </c:yVal>
          <c:smooth val="0"/>
          <c:extLst>
            <c:ext xmlns:c16="http://schemas.microsoft.com/office/drawing/2014/chart" uri="{C3380CC4-5D6E-409C-BE32-E72D297353CC}">
              <c16:uniqueId val="{00000002-DA27-477F-8D4B-139872252E9B}"/>
            </c:ext>
          </c:extLst>
        </c:ser>
        <c:ser>
          <c:idx val="13"/>
          <c:order val="3"/>
          <c:tx>
            <c:v>CF, Pipe 2</c:v>
          </c:tx>
          <c:spPr>
            <a:ln w="25400" cap="rnd">
              <a:noFill/>
              <a:round/>
            </a:ln>
            <a:effectLst/>
          </c:spPr>
          <c:marker>
            <c:symbol val="x"/>
            <c:size val="7"/>
            <c:spPr>
              <a:noFill/>
              <a:ln w="15875">
                <a:solidFill>
                  <a:srgbClr val="00B0F0"/>
                </a:solidFill>
              </a:ln>
              <a:effectLst/>
            </c:spPr>
          </c:marker>
          <c:xVal>
            <c:numRef>
              <c:f>m!$CP$88:$DT$88</c:f>
              <c:numCache>
                <c:formatCode>General</c:formatCode>
                <c:ptCount val="31"/>
                <c:pt idx="0">
                  <c:v>14.967634874281726</c:v>
                </c:pt>
                <c:pt idx="1">
                  <c:v>10.859495391314089</c:v>
                </c:pt>
                <c:pt idx="2">
                  <c:v>8.4563881945228196</c:v>
                </c:pt>
                <c:pt idx="3">
                  <c:v>8.0451490313237208</c:v>
                </c:pt>
                <c:pt idx="4">
                  <c:v>7.3666796900735303</c:v>
                </c:pt>
                <c:pt idx="5">
                  <c:v>6.5196411657785642</c:v>
                </c:pt>
                <c:pt idx="6">
                  <c:v>6.3301131825501749</c:v>
                </c:pt>
                <c:pt idx="7">
                  <c:v>6.8827228840656973</c:v>
                </c:pt>
                <c:pt idx="8">
                  <c:v>7.0094627058965058</c:v>
                </c:pt>
                <c:pt idx="9">
                  <c:v>6.3298791757150115</c:v>
                </c:pt>
                <c:pt idx="10">
                  <c:v>6.6780438219414266</c:v>
                </c:pt>
                <c:pt idx="11">
                  <c:v>6.5385293353880218</c:v>
                </c:pt>
                <c:pt idx="12">
                  <c:v>6.9941799281985251</c:v>
                </c:pt>
                <c:pt idx="14">
                  <c:v>6.8232928038368632</c:v>
                </c:pt>
                <c:pt idx="15">
                  <c:v>18.904292224553938</c:v>
                </c:pt>
                <c:pt idx="18">
                  <c:v>4.9032420224881452</c:v>
                </c:pt>
                <c:pt idx="19">
                  <c:v>5.154905288650987</c:v>
                </c:pt>
                <c:pt idx="20">
                  <c:v>5.408353073811563</c:v>
                </c:pt>
                <c:pt idx="21">
                  <c:v>5.6648585615667919</c:v>
                </c:pt>
                <c:pt idx="22">
                  <c:v>6.0623627952754546</c:v>
                </c:pt>
                <c:pt idx="23">
                  <c:v>57.260760259312697</c:v>
                </c:pt>
                <c:pt idx="24">
                  <c:v>26.427104906202789</c:v>
                </c:pt>
                <c:pt idx="25">
                  <c:v>40.004296051188781</c:v>
                </c:pt>
                <c:pt idx="26">
                  <c:v>19.130558061300469</c:v>
                </c:pt>
                <c:pt idx="27">
                  <c:v>29.934930652950253</c:v>
                </c:pt>
                <c:pt idx="28">
                  <c:v>2.6231064436735849</c:v>
                </c:pt>
                <c:pt idx="29">
                  <c:v>3.0770338188674491</c:v>
                </c:pt>
              </c:numCache>
            </c:numRef>
          </c:xVal>
          <c:yVal>
            <c:numRef>
              <c:f>m!$CP$95:$DT$95</c:f>
              <c:numCache>
                <c:formatCode>General</c:formatCode>
                <c:ptCount val="31"/>
                <c:pt idx="0">
                  <c:v>7.230064864592558</c:v>
                </c:pt>
                <c:pt idx="1">
                  <c:v>7.8432795970043863</c:v>
                </c:pt>
                <c:pt idx="2">
                  <c:v>7.1611992718238096</c:v>
                </c:pt>
                <c:pt idx="3">
                  <c:v>8.5921413030732001</c:v>
                </c:pt>
                <c:pt idx="4">
                  <c:v>6.661272134560023</c:v>
                </c:pt>
                <c:pt idx="5">
                  <c:v>7.7435399296450607</c:v>
                </c:pt>
                <c:pt idx="6">
                  <c:v>6.1997981508460969</c:v>
                </c:pt>
                <c:pt idx="7">
                  <c:v>7.7408089896434431</c:v>
                </c:pt>
                <c:pt idx="8">
                  <c:v>8.6625983848095451</c:v>
                </c:pt>
                <c:pt idx="9">
                  <c:v>6.621771797238047</c:v>
                </c:pt>
                <c:pt idx="10">
                  <c:v>6.9659330774762003</c:v>
                </c:pt>
                <c:pt idx="11">
                  <c:v>7.1453382407870949</c:v>
                </c:pt>
                <c:pt idx="12">
                  <c:v>8.4516911292205865</c:v>
                </c:pt>
                <c:pt idx="14">
                  <c:v>6.0778760902500926</c:v>
                </c:pt>
                <c:pt idx="15">
                  <c:v>8.6619524722903734</c:v>
                </c:pt>
                <c:pt idx="18">
                  <c:v>7.3483443733593532</c:v>
                </c:pt>
                <c:pt idx="19">
                  <c:v>8.0072612621981989</c:v>
                </c:pt>
                <c:pt idx="20">
                  <c:v>7.0758839302446521</c:v>
                </c:pt>
                <c:pt idx="21">
                  <c:v>6.8389367669751673</c:v>
                </c:pt>
                <c:pt idx="22">
                  <c:v>6.2031731981670291</c:v>
                </c:pt>
                <c:pt idx="23">
                  <c:v>9.608322876774281</c:v>
                </c:pt>
                <c:pt idx="24">
                  <c:v>8.2080991638713332</c:v>
                </c:pt>
                <c:pt idx="25">
                  <c:v>10.795030638909601</c:v>
                </c:pt>
                <c:pt idx="26">
                  <c:v>9.9406684789797772</c:v>
                </c:pt>
                <c:pt idx="27">
                  <c:v>7.6699085645929568</c:v>
                </c:pt>
                <c:pt idx="28">
                  <c:v>6.1233547438995259</c:v>
                </c:pt>
                <c:pt idx="29">
                  <c:v>6.1359189433264092</c:v>
                </c:pt>
              </c:numCache>
            </c:numRef>
          </c:yVal>
          <c:smooth val="0"/>
          <c:extLst>
            <c:ext xmlns:c16="http://schemas.microsoft.com/office/drawing/2014/chart" uri="{C3380CC4-5D6E-409C-BE32-E72D297353CC}">
              <c16:uniqueId val="{00000003-DA27-477F-8D4B-139872252E9B}"/>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m!$DU$88:$DX$88</c:f>
              <c:numCache>
                <c:formatCode>General</c:formatCode>
                <c:ptCount val="4"/>
                <c:pt idx="1">
                  <c:v>112.5027611445126</c:v>
                </c:pt>
              </c:numCache>
            </c:numRef>
          </c:xVal>
          <c:yVal>
            <c:numRef>
              <c:f>m!$DU$95:$DX$95</c:f>
              <c:numCache>
                <c:formatCode>General</c:formatCode>
                <c:ptCount val="4"/>
                <c:pt idx="1">
                  <c:v>11.627400337732656</c:v>
                </c:pt>
              </c:numCache>
            </c:numRef>
          </c:yVal>
          <c:smooth val="0"/>
          <c:extLst>
            <c:ext xmlns:c16="http://schemas.microsoft.com/office/drawing/2014/chart" uri="{C3380CC4-5D6E-409C-BE32-E72D297353CC}">
              <c16:uniqueId val="{00000004-DA27-477F-8D4B-139872252E9B}"/>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m!$DY$88:$EL$88</c:f>
              <c:numCache>
                <c:formatCode>General</c:formatCode>
                <c:ptCount val="14"/>
                <c:pt idx="0">
                  <c:v>387.12046526060993</c:v>
                </c:pt>
                <c:pt idx="1">
                  <c:v>109.01295409328802</c:v>
                </c:pt>
                <c:pt idx="2">
                  <c:v>80.044164274946709</c:v>
                </c:pt>
                <c:pt idx="3">
                  <c:v>69.315374934098855</c:v>
                </c:pt>
                <c:pt idx="4">
                  <c:v>56.845340825747876</c:v>
                </c:pt>
                <c:pt idx="5">
                  <c:v>52.110362557298266</c:v>
                </c:pt>
                <c:pt idx="6">
                  <c:v>51.347614683737454</c:v>
                </c:pt>
                <c:pt idx="7">
                  <c:v>43.636818151904194</c:v>
                </c:pt>
                <c:pt idx="8">
                  <c:v>29.734510695495572</c:v>
                </c:pt>
                <c:pt idx="10">
                  <c:v>28.325629332891609</c:v>
                </c:pt>
                <c:pt idx="11">
                  <c:v>32.438035866153264</c:v>
                </c:pt>
                <c:pt idx="13">
                  <c:v>25.30851824555894</c:v>
                </c:pt>
              </c:numCache>
            </c:numRef>
          </c:xVal>
          <c:yVal>
            <c:numRef>
              <c:f>m!$DY$95:$EL$95</c:f>
              <c:numCache>
                <c:formatCode>General</c:formatCode>
                <c:ptCount val="14"/>
                <c:pt idx="0">
                  <c:v>11.841933921401584</c:v>
                </c:pt>
                <c:pt idx="1">
                  <c:v>10.112716420782542</c:v>
                </c:pt>
                <c:pt idx="2">
                  <c:v>10.75326981223963</c:v>
                </c:pt>
                <c:pt idx="3">
                  <c:v>12.593437950738654</c:v>
                </c:pt>
                <c:pt idx="4">
                  <c:v>9.9708079988168254</c:v>
                </c:pt>
                <c:pt idx="5">
                  <c:v>12.57159489291657</c:v>
                </c:pt>
                <c:pt idx="6">
                  <c:v>11.025393435074347</c:v>
                </c:pt>
                <c:pt idx="7">
                  <c:v>8.8729996804417208</c:v>
                </c:pt>
                <c:pt idx="8">
                  <c:v>12.254596368878824</c:v>
                </c:pt>
                <c:pt idx="10">
                  <c:v>9.2304269063872528</c:v>
                </c:pt>
                <c:pt idx="11">
                  <c:v>10.128045629794443</c:v>
                </c:pt>
                <c:pt idx="13">
                  <c:v>8.7481293899266319</c:v>
                </c:pt>
              </c:numCache>
            </c:numRef>
          </c:yVal>
          <c:smooth val="0"/>
          <c:extLst>
            <c:ext xmlns:c16="http://schemas.microsoft.com/office/drawing/2014/chart" uri="{C3380CC4-5D6E-409C-BE32-E72D297353CC}">
              <c16:uniqueId val="{00000005-DA27-477F-8D4B-139872252E9B}"/>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m!$AF$88:$AO$88</c:f>
              <c:numCache>
                <c:formatCode>General</c:formatCode>
                <c:ptCount val="10"/>
                <c:pt idx="6">
                  <c:v>1.2077756213486157</c:v>
                </c:pt>
                <c:pt idx="7">
                  <c:v>1.1056289978340066</c:v>
                </c:pt>
                <c:pt idx="8">
                  <c:v>1.0251873368791706</c:v>
                </c:pt>
                <c:pt idx="9">
                  <c:v>0.95931262586627597</c:v>
                </c:pt>
              </c:numCache>
            </c:numRef>
          </c:xVal>
          <c:yVal>
            <c:numRef>
              <c:f>m!$AF$96:$AO$96</c:f>
              <c:numCache>
                <c:formatCode>General</c:formatCode>
                <c:ptCount val="10"/>
                <c:pt idx="6">
                  <c:v>4.6527598235675249</c:v>
                </c:pt>
                <c:pt idx="7">
                  <c:v>4.2805274655235781</c:v>
                </c:pt>
                <c:pt idx="8">
                  <c:v>3.4393569277814708</c:v>
                </c:pt>
                <c:pt idx="9">
                  <c:v>3.6129037340831314</c:v>
                </c:pt>
              </c:numCache>
            </c:numRef>
          </c:yVal>
          <c:smooth val="0"/>
          <c:extLst>
            <c:ext xmlns:c16="http://schemas.microsoft.com/office/drawing/2014/chart" uri="{C3380CC4-5D6E-409C-BE32-E72D297353CC}">
              <c16:uniqueId val="{00000006-DA27-477F-8D4B-139872252E9B}"/>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m!$AP$88:$BL$88</c:f>
              <c:numCache>
                <c:formatCode>General</c:formatCode>
                <c:ptCount val="23"/>
                <c:pt idx="0">
                  <c:v>24.391892556467965</c:v>
                </c:pt>
                <c:pt idx="1">
                  <c:v>12.39314191041627</c:v>
                </c:pt>
                <c:pt idx="2">
                  <c:v>6.0526881112960602</c:v>
                </c:pt>
                <c:pt idx="3">
                  <c:v>3.7666895969175127</c:v>
                </c:pt>
                <c:pt idx="4">
                  <c:v>2.6785350127838461</c:v>
                </c:pt>
                <c:pt idx="6">
                  <c:v>1.8850320220016954</c:v>
                </c:pt>
                <c:pt idx="12">
                  <c:v>1.1515535876000997</c:v>
                </c:pt>
                <c:pt idx="19">
                  <c:v>16.152806707052129</c:v>
                </c:pt>
                <c:pt idx="20">
                  <c:v>8.0284894017907167</c:v>
                </c:pt>
                <c:pt idx="21">
                  <c:v>11.824562591088151</c:v>
                </c:pt>
              </c:numCache>
            </c:numRef>
          </c:xVal>
          <c:yVal>
            <c:numRef>
              <c:f>m!$AP$96:$BL$96</c:f>
              <c:numCache>
                <c:formatCode>General</c:formatCode>
                <c:ptCount val="23"/>
                <c:pt idx="0">
                  <c:v>5.4755784611121161</c:v>
                </c:pt>
                <c:pt idx="1">
                  <c:v>5.1682826595532747</c:v>
                </c:pt>
                <c:pt idx="2">
                  <c:v>3.0985995787371445</c:v>
                </c:pt>
                <c:pt idx="3">
                  <c:v>3.134879815279314</c:v>
                </c:pt>
                <c:pt idx="4">
                  <c:v>3.0033011206407316</c:v>
                </c:pt>
                <c:pt idx="6">
                  <c:v>2.9529997740314693</c:v>
                </c:pt>
                <c:pt idx="12">
                  <c:v>2.536745078640724</c:v>
                </c:pt>
                <c:pt idx="19">
                  <c:v>5.2461545091174413</c:v>
                </c:pt>
                <c:pt idx="20">
                  <c:v>3.8667689214808134</c:v>
                </c:pt>
                <c:pt idx="21">
                  <c:v>5.2126574434788768</c:v>
                </c:pt>
              </c:numCache>
            </c:numRef>
          </c:yVal>
          <c:smooth val="0"/>
          <c:extLst>
            <c:ext xmlns:c16="http://schemas.microsoft.com/office/drawing/2014/chart" uri="{C3380CC4-5D6E-409C-BE32-E72D297353CC}">
              <c16:uniqueId val="{00000007-DA27-477F-8D4B-139872252E9B}"/>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m!$BM$88:$CO$88</c:f>
              <c:numCache>
                <c:formatCode>General</c:formatCode>
                <c:ptCount val="29"/>
                <c:pt idx="0">
                  <c:v>9.058449261180316</c:v>
                </c:pt>
                <c:pt idx="1">
                  <c:v>7.8664433508505711</c:v>
                </c:pt>
                <c:pt idx="3">
                  <c:v>30.065626016914369</c:v>
                </c:pt>
                <c:pt idx="4">
                  <c:v>22.639463651886633</c:v>
                </c:pt>
                <c:pt idx="5">
                  <c:v>16.656638164149282</c:v>
                </c:pt>
                <c:pt idx="6">
                  <c:v>15.021212136386572</c:v>
                </c:pt>
                <c:pt idx="7">
                  <c:v>13.951169656448213</c:v>
                </c:pt>
                <c:pt idx="8">
                  <c:v>13.01388949792244</c:v>
                </c:pt>
                <c:pt idx="9">
                  <c:v>11.766366373383427</c:v>
                </c:pt>
                <c:pt idx="10">
                  <c:v>11.269336129968526</c:v>
                </c:pt>
                <c:pt idx="11">
                  <c:v>11.170898139527413</c:v>
                </c:pt>
                <c:pt idx="12">
                  <c:v>11.960799378255555</c:v>
                </c:pt>
                <c:pt idx="13">
                  <c:v>27.162889586886486</c:v>
                </c:pt>
                <c:pt idx="14">
                  <c:v>12.912503702619032</c:v>
                </c:pt>
                <c:pt idx="15">
                  <c:v>12.021652336608035</c:v>
                </c:pt>
                <c:pt idx="16">
                  <c:v>11.232099961635724</c:v>
                </c:pt>
                <c:pt idx="17">
                  <c:v>11.693849947411628</c:v>
                </c:pt>
                <c:pt idx="18">
                  <c:v>11.223698400411086</c:v>
                </c:pt>
                <c:pt idx="19">
                  <c:v>10.86580831318318</c:v>
                </c:pt>
              </c:numCache>
            </c:numRef>
          </c:xVal>
          <c:yVal>
            <c:numRef>
              <c:f>m!$BM$96:$CO$96</c:f>
              <c:numCache>
                <c:formatCode>General</c:formatCode>
                <c:ptCount val="29"/>
                <c:pt idx="0">
                  <c:v>7.7033235890944756</c:v>
                </c:pt>
                <c:pt idx="1">
                  <c:v>9.1444916587946974</c:v>
                </c:pt>
                <c:pt idx="3">
                  <c:v>8.7140648971788437</c:v>
                </c:pt>
                <c:pt idx="4">
                  <c:v>12.927157671770168</c:v>
                </c:pt>
                <c:pt idx="5">
                  <c:v>8.3600761384121469</c:v>
                </c:pt>
                <c:pt idx="6">
                  <c:v>8.9999781210833945</c:v>
                </c:pt>
                <c:pt idx="7">
                  <c:v>11.710147435168425</c:v>
                </c:pt>
                <c:pt idx="8">
                  <c:v>9.6604016799591612</c:v>
                </c:pt>
                <c:pt idx="9">
                  <c:v>8.9844518836473455</c:v>
                </c:pt>
                <c:pt idx="10">
                  <c:v>8.1478940601600911</c:v>
                </c:pt>
                <c:pt idx="11">
                  <c:v>7.9194530647955013</c:v>
                </c:pt>
                <c:pt idx="12">
                  <c:v>8.4688373486197897</c:v>
                </c:pt>
                <c:pt idx="13">
                  <c:v>8.1654266073084845</c:v>
                </c:pt>
                <c:pt idx="14">
                  <c:v>10.157317419596724</c:v>
                </c:pt>
                <c:pt idx="15">
                  <c:v>8.4459765120883326</c:v>
                </c:pt>
                <c:pt idx="16">
                  <c:v>8.8566927659923493</c:v>
                </c:pt>
                <c:pt idx="17">
                  <c:v>7.9864493524762779</c:v>
                </c:pt>
                <c:pt idx="18">
                  <c:v>7.5929751024784267</c:v>
                </c:pt>
                <c:pt idx="19">
                  <c:v>7.0417931291632536</c:v>
                </c:pt>
              </c:numCache>
            </c:numRef>
          </c:yVal>
          <c:smooth val="0"/>
          <c:extLst>
            <c:ext xmlns:c16="http://schemas.microsoft.com/office/drawing/2014/chart" uri="{C3380CC4-5D6E-409C-BE32-E72D297353CC}">
              <c16:uniqueId val="{00000008-DA27-477F-8D4B-139872252E9B}"/>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m!$CP$88:$DT$88</c:f>
              <c:numCache>
                <c:formatCode>General</c:formatCode>
                <c:ptCount val="31"/>
                <c:pt idx="0">
                  <c:v>14.967634874281726</c:v>
                </c:pt>
                <c:pt idx="1">
                  <c:v>10.859495391314089</c:v>
                </c:pt>
                <c:pt idx="2">
                  <c:v>8.4563881945228196</c:v>
                </c:pt>
                <c:pt idx="3">
                  <c:v>8.0451490313237208</c:v>
                </c:pt>
                <c:pt idx="4">
                  <c:v>7.3666796900735303</c:v>
                </c:pt>
                <c:pt idx="5">
                  <c:v>6.5196411657785642</c:v>
                </c:pt>
                <c:pt idx="6">
                  <c:v>6.3301131825501749</c:v>
                </c:pt>
                <c:pt idx="7">
                  <c:v>6.8827228840656973</c:v>
                </c:pt>
                <c:pt idx="8">
                  <c:v>7.0094627058965058</c:v>
                </c:pt>
                <c:pt idx="9">
                  <c:v>6.3298791757150115</c:v>
                </c:pt>
                <c:pt idx="10">
                  <c:v>6.6780438219414266</c:v>
                </c:pt>
                <c:pt idx="11">
                  <c:v>6.5385293353880218</c:v>
                </c:pt>
                <c:pt idx="12">
                  <c:v>6.9941799281985251</c:v>
                </c:pt>
                <c:pt idx="14">
                  <c:v>6.8232928038368632</c:v>
                </c:pt>
                <c:pt idx="15">
                  <c:v>18.904292224553938</c:v>
                </c:pt>
                <c:pt idx="18">
                  <c:v>4.9032420224881452</c:v>
                </c:pt>
                <c:pt idx="19">
                  <c:v>5.154905288650987</c:v>
                </c:pt>
                <c:pt idx="20">
                  <c:v>5.408353073811563</c:v>
                </c:pt>
                <c:pt idx="21">
                  <c:v>5.6648585615667919</c:v>
                </c:pt>
                <c:pt idx="22">
                  <c:v>6.0623627952754546</c:v>
                </c:pt>
                <c:pt idx="23">
                  <c:v>57.260760259312697</c:v>
                </c:pt>
                <c:pt idx="24">
                  <c:v>26.427104906202789</c:v>
                </c:pt>
                <c:pt idx="25">
                  <c:v>40.004296051188781</c:v>
                </c:pt>
                <c:pt idx="26">
                  <c:v>19.130558061300469</c:v>
                </c:pt>
                <c:pt idx="27">
                  <c:v>29.934930652950253</c:v>
                </c:pt>
                <c:pt idx="28">
                  <c:v>2.6231064436735849</c:v>
                </c:pt>
                <c:pt idx="29">
                  <c:v>3.0770338188674491</c:v>
                </c:pt>
              </c:numCache>
            </c:numRef>
          </c:xVal>
          <c:yVal>
            <c:numRef>
              <c:f>m!$CP$96:$DT$96</c:f>
              <c:numCache>
                <c:formatCode>General</c:formatCode>
                <c:ptCount val="31"/>
                <c:pt idx="0">
                  <c:v>6.6249810457925706</c:v>
                </c:pt>
                <c:pt idx="1">
                  <c:v>5.9447274054537775</c:v>
                </c:pt>
                <c:pt idx="2">
                  <c:v>4.3790295625014277</c:v>
                </c:pt>
                <c:pt idx="3">
                  <c:v>7.0215974595106143</c:v>
                </c:pt>
                <c:pt idx="4">
                  <c:v>5.4768436761823818</c:v>
                </c:pt>
                <c:pt idx="5">
                  <c:v>4.8822056936446092</c:v>
                </c:pt>
                <c:pt idx="6">
                  <c:v>4.4672288224686083</c:v>
                </c:pt>
                <c:pt idx="7">
                  <c:v>6.5369518717044457</c:v>
                </c:pt>
                <c:pt idx="8">
                  <c:v>7.9590472097189648</c:v>
                </c:pt>
                <c:pt idx="9">
                  <c:v>5.4878070883378705</c:v>
                </c:pt>
                <c:pt idx="10">
                  <c:v>6.5026988056572304</c:v>
                </c:pt>
                <c:pt idx="11">
                  <c:v>6.329848379965453</c:v>
                </c:pt>
                <c:pt idx="12">
                  <c:v>6.2013253457317621</c:v>
                </c:pt>
                <c:pt idx="14">
                  <c:v>5.2492619268133645</c:v>
                </c:pt>
                <c:pt idx="15">
                  <c:v>6.3209002515631276</c:v>
                </c:pt>
                <c:pt idx="18">
                  <c:v>6.4868297836002924</c:v>
                </c:pt>
                <c:pt idx="19">
                  <c:v>5.827620282954654</c:v>
                </c:pt>
                <c:pt idx="20">
                  <c:v>7.0663143302767422</c:v>
                </c:pt>
                <c:pt idx="21">
                  <c:v>5.9628619384453367</c:v>
                </c:pt>
                <c:pt idx="22">
                  <c:v>5.5226853762264438</c:v>
                </c:pt>
                <c:pt idx="23">
                  <c:v>9.7019903060697743</c:v>
                </c:pt>
                <c:pt idx="24">
                  <c:v>7.6053639768993335</c:v>
                </c:pt>
                <c:pt idx="25">
                  <c:v>7.5584542426748964</c:v>
                </c:pt>
                <c:pt idx="26">
                  <c:v>6.9427008530083283</c:v>
                </c:pt>
                <c:pt idx="27">
                  <c:v>6.4055240885023839</c:v>
                </c:pt>
                <c:pt idx="28">
                  <c:v>5.9595789339150782</c:v>
                </c:pt>
                <c:pt idx="29">
                  <c:v>5.8625018670641422</c:v>
                </c:pt>
              </c:numCache>
            </c:numRef>
          </c:yVal>
          <c:smooth val="0"/>
          <c:extLst>
            <c:ext xmlns:c16="http://schemas.microsoft.com/office/drawing/2014/chart" uri="{C3380CC4-5D6E-409C-BE32-E72D297353CC}">
              <c16:uniqueId val="{00000009-DA27-477F-8D4B-139872252E9B}"/>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m!$DU$88:$DX$88</c:f>
              <c:numCache>
                <c:formatCode>General</c:formatCode>
                <c:ptCount val="4"/>
                <c:pt idx="1">
                  <c:v>112.5027611445126</c:v>
                </c:pt>
              </c:numCache>
            </c:numRef>
          </c:xVal>
          <c:yVal>
            <c:numRef>
              <c:f>m!$DU$96:$DX$96</c:f>
              <c:numCache>
                <c:formatCode>General</c:formatCode>
                <c:ptCount val="4"/>
                <c:pt idx="1">
                  <c:v>8.5837852954236631</c:v>
                </c:pt>
              </c:numCache>
            </c:numRef>
          </c:yVal>
          <c:smooth val="0"/>
          <c:extLst>
            <c:ext xmlns:c16="http://schemas.microsoft.com/office/drawing/2014/chart" uri="{C3380CC4-5D6E-409C-BE32-E72D297353CC}">
              <c16:uniqueId val="{0000000A-DA27-477F-8D4B-139872252E9B}"/>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m!$DY$88:$EL$88</c:f>
              <c:numCache>
                <c:formatCode>General</c:formatCode>
                <c:ptCount val="14"/>
                <c:pt idx="0">
                  <c:v>387.12046526060993</c:v>
                </c:pt>
                <c:pt idx="1">
                  <c:v>109.01295409328802</c:v>
                </c:pt>
                <c:pt idx="2">
                  <c:v>80.044164274946709</c:v>
                </c:pt>
                <c:pt idx="3">
                  <c:v>69.315374934098855</c:v>
                </c:pt>
                <c:pt idx="4">
                  <c:v>56.845340825747876</c:v>
                </c:pt>
                <c:pt idx="5">
                  <c:v>52.110362557298266</c:v>
                </c:pt>
                <c:pt idx="6">
                  <c:v>51.347614683737454</c:v>
                </c:pt>
                <c:pt idx="7">
                  <c:v>43.636818151904194</c:v>
                </c:pt>
                <c:pt idx="8">
                  <c:v>29.734510695495572</c:v>
                </c:pt>
                <c:pt idx="10">
                  <c:v>28.325629332891609</c:v>
                </c:pt>
                <c:pt idx="11">
                  <c:v>32.438035866153264</c:v>
                </c:pt>
                <c:pt idx="13">
                  <c:v>25.30851824555894</c:v>
                </c:pt>
              </c:numCache>
            </c:numRef>
          </c:xVal>
          <c:yVal>
            <c:numRef>
              <c:f>m!$DY$96:$EL$96</c:f>
              <c:numCache>
                <c:formatCode>General</c:formatCode>
                <c:ptCount val="14"/>
                <c:pt idx="0">
                  <c:v>8.0736939293288259</c:v>
                </c:pt>
                <c:pt idx="1">
                  <c:v>8.5723204770723118</c:v>
                </c:pt>
                <c:pt idx="2">
                  <c:v>9.3688715981853772</c:v>
                </c:pt>
                <c:pt idx="3">
                  <c:v>11.808645757253798</c:v>
                </c:pt>
                <c:pt idx="4">
                  <c:v>9.3027335683988124</c:v>
                </c:pt>
                <c:pt idx="5">
                  <c:v>8.8407959437509973</c:v>
                </c:pt>
                <c:pt idx="6">
                  <c:v>9.4797698241348378</c:v>
                </c:pt>
                <c:pt idx="7">
                  <c:v>7.8622566156607085</c:v>
                </c:pt>
                <c:pt idx="8">
                  <c:v>9.6176111415033159</c:v>
                </c:pt>
                <c:pt idx="10">
                  <c:v>7.4199267899654808</c:v>
                </c:pt>
                <c:pt idx="11">
                  <c:v>7.9053481326688049</c:v>
                </c:pt>
                <c:pt idx="13">
                  <c:v>7.3530728474436851</c:v>
                </c:pt>
              </c:numCache>
            </c:numRef>
          </c:yVal>
          <c:smooth val="0"/>
          <c:extLst>
            <c:ext xmlns:c16="http://schemas.microsoft.com/office/drawing/2014/chart" uri="{C3380CC4-5D6E-409C-BE32-E72D297353CC}">
              <c16:uniqueId val="{0000000B-DA27-477F-8D4B-139872252E9B}"/>
            </c:ext>
          </c:extLst>
        </c:ser>
        <c:dLbls>
          <c:showLegendKey val="0"/>
          <c:showVal val="0"/>
          <c:showCatName val="0"/>
          <c:showSerName val="0"/>
          <c:showPercent val="0"/>
          <c:showBubbleSize val="0"/>
        </c:dLbls>
        <c:axId val="624399680"/>
        <c:axId val="624400008"/>
        <c:extLst>
          <c:ext xmlns:c15="http://schemas.microsoft.com/office/drawing/2012/chart" uri="{02D57815-91ED-43cb-92C2-25804820EDAC}">
            <c15:filteredScatterSeries>
              <c15:ser>
                <c:idx val="1"/>
                <c:order val="12"/>
                <c:tx>
                  <c:strRef>
                    <c:extLst>
                      <c:ext uri="{02D57815-91ED-43cb-92C2-25804820EDAC}">
                        <c15:formulaRef>
                          <c15:sqref>fit!$C$41</c15:sqref>
                        </c15:formulaRef>
                      </c:ext>
                    </c:extLst>
                    <c:strCache>
                      <c:ptCount val="1"/>
                      <c:pt idx="0">
                        <c:v>CF fit  ϵ̃e = 5.22 Ñ0.155 </c:v>
                      </c:pt>
                    </c:strCache>
                  </c:strRef>
                </c:tx>
                <c:spPr>
                  <a:ln w="25400" cap="rnd">
                    <a:no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fit!$G$40:$BI$40</c15:sqref>
                        </c15:formulaRef>
                      </c:ext>
                    </c:extLst>
                    <c:numCache>
                      <c:formatCode>General</c:formatCode>
                      <c:ptCount val="55"/>
                      <c:pt idx="0">
                        <c:v>0.5</c:v>
                      </c:pt>
                      <c:pt idx="1">
                        <c:v>0.57499999999999996</c:v>
                      </c:pt>
                      <c:pt idx="2">
                        <c:v>0.66124999999999989</c:v>
                      </c:pt>
                      <c:pt idx="3">
                        <c:v>0.76043749999999977</c:v>
                      </c:pt>
                      <c:pt idx="4">
                        <c:v>0.87450312499999971</c:v>
                      </c:pt>
                      <c:pt idx="5">
                        <c:v>1.0056785937499997</c:v>
                      </c:pt>
                      <c:pt idx="6">
                        <c:v>1.1565303828124995</c:v>
                      </c:pt>
                      <c:pt idx="7">
                        <c:v>1.3300099402343744</c:v>
                      </c:pt>
                      <c:pt idx="8">
                        <c:v>1.5295114312695304</c:v>
                      </c:pt>
                      <c:pt idx="9">
                        <c:v>1.7589381459599598</c:v>
                      </c:pt>
                      <c:pt idx="10">
                        <c:v>2.0227788678539538</c:v>
                      </c:pt>
                      <c:pt idx="11">
                        <c:v>2.3261956980320466</c:v>
                      </c:pt>
                      <c:pt idx="12">
                        <c:v>2.6751250527368535</c:v>
                      </c:pt>
                      <c:pt idx="13">
                        <c:v>3.0763938106473812</c:v>
                      </c:pt>
                      <c:pt idx="14">
                        <c:v>3.5378528822444881</c:v>
                      </c:pt>
                      <c:pt idx="15">
                        <c:v>4.0685308145811607</c:v>
                      </c:pt>
                      <c:pt idx="16">
                        <c:v>4.6788104367683347</c:v>
                      </c:pt>
                      <c:pt idx="17">
                        <c:v>5.3806320022835843</c:v>
                      </c:pt>
                      <c:pt idx="18">
                        <c:v>6.1877268026261216</c:v>
                      </c:pt>
                      <c:pt idx="19">
                        <c:v>7.1158858230200392</c:v>
                      </c:pt>
                      <c:pt idx="20">
                        <c:v>8.1832686964730446</c:v>
                      </c:pt>
                      <c:pt idx="21">
                        <c:v>9.410759000944001</c:v>
                      </c:pt>
                      <c:pt idx="22">
                        <c:v>10.8223728510856</c:v>
                      </c:pt>
                      <c:pt idx="23">
                        <c:v>12.445728778748439</c:v>
                      </c:pt>
                      <c:pt idx="24">
                        <c:v>14.312588095560704</c:v>
                      </c:pt>
                      <c:pt idx="25">
                        <c:v>16.459476309894807</c:v>
                      </c:pt>
                      <c:pt idx="26">
                        <c:v>18.928397756379027</c:v>
                      </c:pt>
                      <c:pt idx="27">
                        <c:v>21.767657419835881</c:v>
                      </c:pt>
                      <c:pt idx="28">
                        <c:v>25.032806032811262</c:v>
                      </c:pt>
                      <c:pt idx="29">
                        <c:v>28.787726937732948</c:v>
                      </c:pt>
                      <c:pt idx="30">
                        <c:v>33.105885978392891</c:v>
                      </c:pt>
                      <c:pt idx="31">
                        <c:v>38.071768875151818</c:v>
                      </c:pt>
                      <c:pt idx="32">
                        <c:v>43.782534206424586</c:v>
                      </c:pt>
                      <c:pt idx="33">
                        <c:v>50.34991433738827</c:v>
                      </c:pt>
                      <c:pt idx="34">
                        <c:v>57.902401487996507</c:v>
                      </c:pt>
                      <c:pt idx="35">
                        <c:v>66.587761711195981</c:v>
                      </c:pt>
                      <c:pt idx="36">
                        <c:v>76.575925967875378</c:v>
                      </c:pt>
                      <c:pt idx="37">
                        <c:v>88.062314863056685</c:v>
                      </c:pt>
                      <c:pt idx="38">
                        <c:v>101.27166209251519</c:v>
                      </c:pt>
                      <c:pt idx="39">
                        <c:v>116.46241140639245</c:v>
                      </c:pt>
                      <c:pt idx="40">
                        <c:v>133.9317731173513</c:v>
                      </c:pt>
                      <c:pt idx="41">
                        <c:v>154.02153908495399</c:v>
                      </c:pt>
                      <c:pt idx="42">
                        <c:v>177.12476994769708</c:v>
                      </c:pt>
                      <c:pt idx="43">
                        <c:v>203.69348543985163</c:v>
                      </c:pt>
                      <c:pt idx="44">
                        <c:v>234.24750825582936</c:v>
                      </c:pt>
                      <c:pt idx="45">
                        <c:v>269.38463449420374</c:v>
                      </c:pt>
                      <c:pt idx="46">
                        <c:v>309.79232966833428</c:v>
                      </c:pt>
                      <c:pt idx="47">
                        <c:v>356.26117911858438</c:v>
                      </c:pt>
                      <c:pt idx="48">
                        <c:v>409.70035598637202</c:v>
                      </c:pt>
                      <c:pt idx="49">
                        <c:v>471.15540938432781</c:v>
                      </c:pt>
                      <c:pt idx="50">
                        <c:v>541.82872079197693</c:v>
                      </c:pt>
                      <c:pt idx="51">
                        <c:v>623.10302891077345</c:v>
                      </c:pt>
                      <c:pt idx="52">
                        <c:v>716.56848324738939</c:v>
                      </c:pt>
                      <c:pt idx="53">
                        <c:v>824.05375573449771</c:v>
                      </c:pt>
                      <c:pt idx="54">
                        <c:v>947.6618190946723</c:v>
                      </c:pt>
                    </c:numCache>
                  </c:numRef>
                </c:xVal>
                <c:yVal>
                  <c:numRef>
                    <c:extLst>
                      <c:ext uri="{02D57815-91ED-43cb-92C2-25804820EDAC}">
                        <c15:formulaRef>
                          <c15:sqref>fit!$G$41:$BI$41</c15:sqref>
                        </c15:formulaRef>
                      </c:ext>
                    </c:extLst>
                    <c:numCache>
                      <c:formatCode>General</c:formatCode>
                      <c:ptCount val="55"/>
                      <c:pt idx="0">
                        <c:v>4.6913933842572053</c:v>
                      </c:pt>
                      <c:pt idx="1">
                        <c:v>4.7943940686069935</c:v>
                      </c:pt>
                      <c:pt idx="2">
                        <c:v>4.8996561580677094</c:v>
                      </c:pt>
                      <c:pt idx="3">
                        <c:v>5.0072293023393302</c:v>
                      </c:pt>
                      <c:pt idx="4">
                        <c:v>5.1171642411930938</c:v>
                      </c:pt>
                      <c:pt idx="5">
                        <c:v>5.2295128284042702</c:v>
                      </c:pt>
                      <c:pt idx="6">
                        <c:v>5.3443280562103954</c:v>
                      </c:pt>
                      <c:pt idx="7">
                        <c:v>5.4616640803064866</c:v>
                      </c:pt>
                      <c:pt idx="8">
                        <c:v>5.5815762453890354</c:v>
                      </c:pt>
                      <c:pt idx="9">
                        <c:v>5.7041211112608234</c:v>
                      </c:pt>
                      <c:pt idx="10">
                        <c:v>5.8293564795088795</c:v>
                      </c:pt>
                      <c:pt idx="11">
                        <c:v>5.9573414207681505</c:v>
                      </c:pt>
                      <c:pt idx="12">
                        <c:v>6.088136302583762</c:v>
                      </c:pt>
                      <c:pt idx="13">
                        <c:v>6.2218028178849938</c:v>
                      </c:pt>
                      <c:pt idx="14">
                        <c:v>6.3584040140844191</c:v>
                      </c:pt>
                      <c:pt idx="15">
                        <c:v>6.498004322815901</c:v>
                      </c:pt>
                      <c:pt idx="16">
                        <c:v>6.6406695903255226</c:v>
                      </c:pt>
                      <c:pt idx="17">
                        <c:v>6.7864671085297346</c:v>
                      </c:pt>
                      <c:pt idx="18">
                        <c:v>6.9354656467554028</c:v>
                      </c:pt>
                      <c:pt idx="19">
                        <c:v>7.0877354841767133</c:v>
                      </c:pt>
                      <c:pt idx="20">
                        <c:v>7.2433484429642379</c:v>
                      </c:pt>
                      <c:pt idx="21">
                        <c:v>7.4023779221617962</c:v>
                      </c:pt>
                      <c:pt idx="22">
                        <c:v>7.5648989323070897</c:v>
                      </c:pt>
                      <c:pt idx="23">
                        <c:v>7.730988130812448</c:v>
                      </c:pt>
                      <c:pt idx="24">
                        <c:v>7.9007238581223547</c:v>
                      </c:pt>
                      <c:pt idx="25">
                        <c:v>8.0741861746648311</c:v>
                      </c:pt>
                      <c:pt idx="26">
                        <c:v>8.2514568986140997</c:v>
                      </c:pt>
                      <c:pt idx="27">
                        <c:v>8.4326196444823189</c:v>
                      </c:pt>
                      <c:pt idx="28">
                        <c:v>8.617759862558632</c:v>
                      </c:pt>
                      <c:pt idx="29">
                        <c:v>8.8069648792140871</c:v>
                      </c:pt>
                      <c:pt idx="30">
                        <c:v>9.0003239380914817</c:v>
                      </c:pt>
                      <c:pt idx="31">
                        <c:v>9.1979282421995219</c:v>
                      </c:pt>
                      <c:pt idx="32">
                        <c:v>9.3998709969311847</c:v>
                      </c:pt>
                      <c:pt idx="33">
                        <c:v>9.6062474540265512</c:v>
                      </c:pt>
                      <c:pt idx="34">
                        <c:v>9.817154956500854</c:v>
                      </c:pt>
                      <c:pt idx="35">
                        <c:v>10.032692984558931</c:v>
                      </c:pt>
                      <c:pt idx="36">
                        <c:v>10.25296320251775</c:v>
                      </c:pt>
                      <c:pt idx="37">
                        <c:v>10.478069506759114</c:v>
                      </c:pt>
                      <c:pt idx="38">
                        <c:v>10.708118074735198</c:v>
                      </c:pt>
                      <c:pt idx="39">
                        <c:v>10.943217415049993</c:v>
                      </c:pt>
                      <c:pt idx="40">
                        <c:v>11.183478418640325</c:v>
                      </c:pt>
                      <c:pt idx="41">
                        <c:v>11.429014411080539</c:v>
                      </c:pt>
                      <c:pt idx="42">
                        <c:v>11.679941206035569</c:v>
                      </c:pt>
                      <c:pt idx="43">
                        <c:v>11.93637715988757</c:v>
                      </c:pt>
                      <c:pt idx="44">
                        <c:v>12.19844322756189</c:v>
                      </c:pt>
                      <c:pt idx="45">
                        <c:v>12.466263019578726</c:v>
                      </c:pt>
                      <c:pt idx="46">
                        <c:v>12.739962860357345</c:v>
                      </c:pt>
                      <c:pt idx="47">
                        <c:v>13.019671847800415</c:v>
                      </c:pt>
                      <c:pt idx="48">
                        <c:v>13.305521914186492</c:v>
                      </c:pt>
                      <c:pt idx="49">
                        <c:v>13.59764788839944</c:v>
                      </c:pt>
                      <c:pt idx="50">
                        <c:v>13.896187559524112</c:v>
                      </c:pt>
                      <c:pt idx="51">
                        <c:v>14.201281741838272</c:v>
                      </c:pt>
                      <c:pt idx="52">
                        <c:v>14.513074341231446</c:v>
                      </c:pt>
                      <c:pt idx="53">
                        <c:v>14.831712423082021</c:v>
                      </c:pt>
                      <c:pt idx="54">
                        <c:v>15.15734628162458</c:v>
                      </c:pt>
                    </c:numCache>
                  </c:numRef>
                </c:yVal>
                <c:smooth val="0"/>
                <c:extLst>
                  <c:ext xmlns:c16="http://schemas.microsoft.com/office/drawing/2014/chart" uri="{C3380CC4-5D6E-409C-BE32-E72D297353CC}">
                    <c16:uniqueId val="{00000000-DE8A-4637-A6C3-99B1DF6065AD}"/>
                  </c:ext>
                </c:extLst>
              </c15:ser>
            </c15:filteredScatterSeries>
          </c:ext>
        </c:extLst>
      </c:scatterChart>
      <c:valAx>
        <c:axId val="624399680"/>
        <c:scaling>
          <c:logBase val="10"/>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Normalized Effective Axial Force, Ñ = NL</a:t>
                </a:r>
                <a:r>
                  <a:rPr lang="en-US" sz="1400" b="0" i="0" u="none" strike="noStrike" baseline="-25000">
                    <a:effectLst/>
                  </a:rPr>
                  <a:t>st</a:t>
                </a:r>
                <a:r>
                  <a:rPr lang="en-US" sz="1400" b="0" i="0" u="none" strike="noStrike" baseline="30000">
                    <a:effectLst/>
                  </a:rPr>
                  <a:t>2</a:t>
                </a:r>
                <a:r>
                  <a:rPr lang="en-US" sz="1400" b="0" i="0" u="none" strike="noStrike" baseline="0">
                    <a:effectLst/>
                  </a:rPr>
                  <a:t>/(π</a:t>
                </a:r>
                <a:r>
                  <a:rPr lang="en-US" sz="1400" b="0" i="0" u="none" strike="noStrike" baseline="30000">
                    <a:effectLst/>
                  </a:rPr>
                  <a:t>2</a:t>
                </a:r>
                <a:r>
                  <a:rPr lang="en-US" sz="1400" b="0" i="0" u="none" strike="noStrike" baseline="0">
                    <a:effectLst/>
                  </a:rPr>
                  <a:t> EI)</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baseline="0">
                    <a:effectLst/>
                  </a:rPr>
                  <a:t>Normalized Fatigue-Equivalent Strain Amplitude,   ϵ̃</a:t>
                </a:r>
                <a:r>
                  <a:rPr lang="en-US" sz="1400" b="0" i="0" baseline="-25000">
                    <a:effectLst/>
                  </a:rPr>
                  <a:t>e</a:t>
                </a:r>
                <a:r>
                  <a:rPr lang="en-US" sz="1400" b="0" i="0" baseline="0">
                    <a:effectLst/>
                  </a:rPr>
                  <a:t> = ϵ</a:t>
                </a:r>
                <a:r>
                  <a:rPr lang="en-US" sz="1400" b="0" i="0" baseline="-25000">
                    <a:effectLst/>
                  </a:rPr>
                  <a:t>e</a:t>
                </a:r>
                <a:r>
                  <a:rPr lang="en-US" sz="1400" b="0" i="0" baseline="0">
                    <a:effectLst/>
                  </a:rPr>
                  <a:t>/(R</a:t>
                </a:r>
                <a:r>
                  <a:rPr lang="en-US" sz="1400" b="0" i="0" baseline="-25000">
                    <a:effectLst/>
                  </a:rPr>
                  <a:t>ϵ</a:t>
                </a:r>
                <a:r>
                  <a:rPr lang="en-US" sz="1400" b="0" i="0" baseline="0">
                    <a:effectLst/>
                  </a:rPr>
                  <a:t>D/L</a:t>
                </a:r>
                <a:r>
                  <a:rPr lang="en-US" sz="1400" b="0" i="0" baseline="-25000">
                    <a:effectLst/>
                  </a:rPr>
                  <a:t>st</a:t>
                </a:r>
                <a:r>
                  <a:rPr lang="en-US" sz="1400" b="0" i="0" baseline="30000">
                    <a:effectLst/>
                  </a:rPr>
                  <a:t>2</a:t>
                </a:r>
                <a:r>
                  <a:rPr lang="en-US" sz="1400" b="0" i="0" baseline="0">
                    <a:effectLst/>
                  </a:rPr>
                  <a:t>)</a:t>
                </a:r>
                <a:endParaRPr lang="en-US" sz="1400">
                  <a:effectLst/>
                </a:endParaRPr>
              </a:p>
            </c:rich>
          </c:tx>
          <c:layout>
            <c:manualLayout>
              <c:xMode val="edge"/>
              <c:yMode val="edge"/>
              <c:x val="1.2786980528916013E-2"/>
              <c:y val="5.1139526362623478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16082103947991683"/>
          <c:h val="0.48965520335599066"/>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834686858562907E-2"/>
          <c:y val="2.4349477682811017E-2"/>
          <c:w val="0.69193106746573863"/>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m!$AF$97:$AO$97</c:f>
              <c:numCache>
                <c:formatCode>General</c:formatCode>
                <c:ptCount val="10"/>
                <c:pt idx="6">
                  <c:v>5739.5247199186842</c:v>
                </c:pt>
                <c:pt idx="7">
                  <c:v>6496.5831045448413</c:v>
                </c:pt>
                <c:pt idx="8">
                  <c:v>7180.5339851740528</c:v>
                </c:pt>
                <c:pt idx="9">
                  <c:v>7970.3576585245792</c:v>
                </c:pt>
              </c:numCache>
            </c:numRef>
          </c:xVal>
          <c:yVal>
            <c:numRef>
              <c:f>m!$AF$90:$AO$90</c:f>
              <c:numCache>
                <c:formatCode>General</c:formatCode>
                <c:ptCount val="10"/>
                <c:pt idx="6">
                  <c:v>5.2324625570429388</c:v>
                </c:pt>
                <c:pt idx="7">
                  <c:v>5.3055824072041231</c:v>
                </c:pt>
                <c:pt idx="8">
                  <c:v>4.655447978393739</c:v>
                </c:pt>
                <c:pt idx="9">
                  <c:v>3.9755921812321118</c:v>
                </c:pt>
              </c:numCache>
            </c:numRef>
          </c:yVal>
          <c:smooth val="0"/>
          <c:extLst>
            <c:ext xmlns:c16="http://schemas.microsoft.com/office/drawing/2014/chart" uri="{C3380CC4-5D6E-409C-BE32-E72D297353CC}">
              <c16:uniqueId val="{00000000-40F8-4FAB-8BA5-C61A99DC0DCA}"/>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m!$AP$97:$BL$97</c:f>
              <c:numCache>
                <c:formatCode>General</c:formatCode>
                <c:ptCount val="23"/>
                <c:pt idx="0">
                  <c:v>3524.084561648076</c:v>
                </c:pt>
                <c:pt idx="1">
                  <c:v>5018.3429157745204</c:v>
                </c:pt>
                <c:pt idx="2">
                  <c:v>7444.4856278180305</c:v>
                </c:pt>
                <c:pt idx="3">
                  <c:v>9796.5523160729572</c:v>
                </c:pt>
                <c:pt idx="4">
                  <c:v>12188.93422593086</c:v>
                </c:pt>
                <c:pt idx="6">
                  <c:v>16937.926893855139</c:v>
                </c:pt>
                <c:pt idx="12">
                  <c:v>28488.355262427711</c:v>
                </c:pt>
                <c:pt idx="19">
                  <c:v>4315.5422089456424</c:v>
                </c:pt>
                <c:pt idx="20">
                  <c:v>6242.1820598220374</c:v>
                </c:pt>
                <c:pt idx="21">
                  <c:v>5052.838841899249</c:v>
                </c:pt>
              </c:numCache>
            </c:numRef>
          </c:xVal>
          <c:yVal>
            <c:numRef>
              <c:f>m!$AP$90:$BL$90</c:f>
              <c:numCache>
                <c:formatCode>General</c:formatCode>
                <c:ptCount val="23"/>
                <c:pt idx="0">
                  <c:v>4.062120186477582</c:v>
                </c:pt>
                <c:pt idx="1">
                  <c:v>3.1506997473427294</c:v>
                </c:pt>
                <c:pt idx="2">
                  <c:v>4.1786954227753803</c:v>
                </c:pt>
                <c:pt idx="3">
                  <c:v>4.4375395113080085</c:v>
                </c:pt>
                <c:pt idx="4">
                  <c:v>5.0795365493314559</c:v>
                </c:pt>
                <c:pt idx="6">
                  <c:v>3.7917125475365436</c:v>
                </c:pt>
                <c:pt idx="12">
                  <c:v>4.1255132431082453</c:v>
                </c:pt>
                <c:pt idx="19">
                  <c:v>3.4774946615159275</c:v>
                </c:pt>
                <c:pt idx="20">
                  <c:v>5.0096376560329396</c:v>
                </c:pt>
                <c:pt idx="21">
                  <c:v>3.3211441120706886</c:v>
                </c:pt>
              </c:numCache>
            </c:numRef>
          </c:yVal>
          <c:smooth val="0"/>
          <c:extLst>
            <c:ext xmlns:c16="http://schemas.microsoft.com/office/drawing/2014/chart" uri="{C3380CC4-5D6E-409C-BE32-E72D297353CC}">
              <c16:uniqueId val="{00000001-40F8-4FAB-8BA5-C61A99DC0DCA}"/>
            </c:ext>
          </c:extLst>
        </c:ser>
        <c:ser>
          <c:idx val="11"/>
          <c:order val="2"/>
          <c:tx>
            <c:v>CF, Pipe 1</c:v>
          </c:tx>
          <c:spPr>
            <a:ln w="25400" cap="rnd">
              <a:noFill/>
              <a:round/>
            </a:ln>
            <a:effectLst/>
          </c:spPr>
          <c:marker>
            <c:symbol val="x"/>
            <c:size val="7"/>
            <c:spPr>
              <a:noFill/>
              <a:ln w="15875">
                <a:solidFill>
                  <a:schemeClr val="accent6"/>
                </a:solidFill>
              </a:ln>
              <a:effectLst/>
            </c:spPr>
          </c:marker>
          <c:xVal>
            <c:numRef>
              <c:f>m!$BM$97:$CO$97</c:f>
              <c:numCache>
                <c:formatCode>General</c:formatCode>
                <c:ptCount val="29"/>
                <c:pt idx="0">
                  <c:v>4721.7074193452527</c:v>
                </c:pt>
                <c:pt idx="1">
                  <c:v>9726.6372881437601</c:v>
                </c:pt>
                <c:pt idx="3">
                  <c:v>5272.0377319737481</c:v>
                </c:pt>
                <c:pt idx="4">
                  <c:v>6326.0436058044424</c:v>
                </c:pt>
                <c:pt idx="5">
                  <c:v>7378.261340291876</c:v>
                </c:pt>
                <c:pt idx="6">
                  <c:v>8435.2530931171605</c:v>
                </c:pt>
                <c:pt idx="7">
                  <c:v>9486.2737153705784</c:v>
                </c:pt>
                <c:pt idx="8">
                  <c:v>10542.451707940352</c:v>
                </c:pt>
                <c:pt idx="9">
                  <c:v>11597.613284462375</c:v>
                </c:pt>
                <c:pt idx="10">
                  <c:v>13706.039127550626</c:v>
                </c:pt>
                <c:pt idx="11">
                  <c:v>14760.071352908484</c:v>
                </c:pt>
                <c:pt idx="12">
                  <c:v>15814.889104742751</c:v>
                </c:pt>
                <c:pt idx="13">
                  <c:v>5273.1921798304502</c:v>
                </c:pt>
                <c:pt idx="14">
                  <c:v>10545.059254294947</c:v>
                </c:pt>
                <c:pt idx="15">
                  <c:v>10280.193780597887</c:v>
                </c:pt>
                <c:pt idx="16">
                  <c:v>15558.447335895738</c:v>
                </c:pt>
                <c:pt idx="17">
                  <c:v>16869.430792959109</c:v>
                </c:pt>
                <c:pt idx="18">
                  <c:v>17922.500560158176</c:v>
                </c:pt>
                <c:pt idx="19">
                  <c:v>18977.451324462891</c:v>
                </c:pt>
              </c:numCache>
            </c:numRef>
          </c:xVal>
          <c:yVal>
            <c:numRef>
              <c:f>m!$BM$90:$CO$90</c:f>
              <c:numCache>
                <c:formatCode>General</c:formatCode>
                <c:ptCount val="29"/>
                <c:pt idx="0">
                  <c:v>7.5372228689385867</c:v>
                </c:pt>
                <c:pt idx="1">
                  <c:v>6.7538585466501351</c:v>
                </c:pt>
                <c:pt idx="3">
                  <c:v>6.9085285216317676</c:v>
                </c:pt>
                <c:pt idx="4">
                  <c:v>8.7844808327165307</c:v>
                </c:pt>
                <c:pt idx="5">
                  <c:v>6.8815419584476922</c:v>
                </c:pt>
                <c:pt idx="6">
                  <c:v>7.0835981525221072</c:v>
                </c:pt>
                <c:pt idx="7">
                  <c:v>7.9295325649227948</c:v>
                </c:pt>
                <c:pt idx="8">
                  <c:v>6.7364402255589626</c:v>
                </c:pt>
                <c:pt idx="9">
                  <c:v>6.8873829945396192</c:v>
                </c:pt>
                <c:pt idx="10">
                  <c:v>6.0678848365387212</c:v>
                </c:pt>
                <c:pt idx="11">
                  <c:v>6.1645888533499686</c:v>
                </c:pt>
                <c:pt idx="12">
                  <c:v>5.8693943176476182</c:v>
                </c:pt>
                <c:pt idx="13">
                  <c:v>6.7850434650344518</c:v>
                </c:pt>
                <c:pt idx="14">
                  <c:v>7.2194045444036385</c:v>
                </c:pt>
                <c:pt idx="15">
                  <c:v>6.9426629376466629</c:v>
                </c:pt>
                <c:pt idx="16">
                  <c:v>5.4563023939985182</c:v>
                </c:pt>
                <c:pt idx="17">
                  <c:v>5.65606720316016</c:v>
                </c:pt>
                <c:pt idx="18">
                  <c:v>4.8338479073442899</c:v>
                </c:pt>
                <c:pt idx="19">
                  <c:v>4.8195115261323638</c:v>
                </c:pt>
              </c:numCache>
            </c:numRef>
          </c:yVal>
          <c:smooth val="0"/>
          <c:extLst>
            <c:ext xmlns:c16="http://schemas.microsoft.com/office/drawing/2014/chart" uri="{C3380CC4-5D6E-409C-BE32-E72D297353CC}">
              <c16:uniqueId val="{00000002-40F8-4FAB-8BA5-C61A99DC0DCA}"/>
            </c:ext>
          </c:extLst>
        </c:ser>
        <c:ser>
          <c:idx val="13"/>
          <c:order val="3"/>
          <c:tx>
            <c:v>CF, Pipe 2</c:v>
          </c:tx>
          <c:spPr>
            <a:ln w="25400" cap="rnd">
              <a:noFill/>
              <a:round/>
            </a:ln>
            <a:effectLst/>
          </c:spPr>
          <c:marker>
            <c:symbol val="x"/>
            <c:size val="7"/>
            <c:spPr>
              <a:noFill/>
              <a:ln w="15875">
                <a:solidFill>
                  <a:srgbClr val="00B0F0"/>
                </a:solidFill>
              </a:ln>
              <a:effectLst/>
            </c:spPr>
          </c:marker>
          <c:xVal>
            <c:numRef>
              <c:f>m!$CP$97:$DT$97</c:f>
              <c:numCache>
                <c:formatCode>General</c:formatCode>
                <c:ptCount val="31"/>
                <c:pt idx="0">
                  <c:v>10543.522866148696</c:v>
                </c:pt>
                <c:pt idx="1">
                  <c:v>13179.997080250789</c:v>
                </c:pt>
                <c:pt idx="2">
                  <c:v>15821.998056612516</c:v>
                </c:pt>
                <c:pt idx="3">
                  <c:v>18448.555155804279</c:v>
                </c:pt>
                <c:pt idx="4">
                  <c:v>21086.837116040679</c:v>
                </c:pt>
                <c:pt idx="5">
                  <c:v>23724.276768533804</c:v>
                </c:pt>
                <c:pt idx="6">
                  <c:v>26354.516807355376</c:v>
                </c:pt>
                <c:pt idx="7">
                  <c:v>28996.417396946956</c:v>
                </c:pt>
                <c:pt idx="8">
                  <c:v>31627.313086861053</c:v>
                </c:pt>
                <c:pt idx="9">
                  <c:v>34271.139847604849</c:v>
                </c:pt>
                <c:pt idx="10">
                  <c:v>36899.111772838391</c:v>
                </c:pt>
                <c:pt idx="11">
                  <c:v>39541.100200853849</c:v>
                </c:pt>
                <c:pt idx="12">
                  <c:v>42167.456526505317</c:v>
                </c:pt>
                <c:pt idx="14">
                  <c:v>42166.355409120253</c:v>
                </c:pt>
                <c:pt idx="15">
                  <c:v>7907.3004032436156</c:v>
                </c:pt>
                <c:pt idx="18">
                  <c:v>44812.356170855062</c:v>
                </c:pt>
                <c:pt idx="19">
                  <c:v>50089.080082742781</c:v>
                </c:pt>
                <c:pt idx="20">
                  <c:v>55348.208076075498</c:v>
                </c:pt>
                <c:pt idx="21">
                  <c:v>60637.185448094409</c:v>
                </c:pt>
                <c:pt idx="22">
                  <c:v>65929.506954393888</c:v>
                </c:pt>
                <c:pt idx="23">
                  <c:v>5271.2312654445032</c:v>
                </c:pt>
                <c:pt idx="24">
                  <c:v>7908.2242752376351</c:v>
                </c:pt>
                <c:pt idx="25">
                  <c:v>6328.2910146211316</c:v>
                </c:pt>
                <c:pt idx="26">
                  <c:v>9490.3166356839611</c:v>
                </c:pt>
                <c:pt idx="27">
                  <c:v>7380.2353520142387</c:v>
                </c:pt>
                <c:pt idx="28">
                  <c:v>39536.231442501667</c:v>
                </c:pt>
                <c:pt idx="29">
                  <c:v>47447.421048816876</c:v>
                </c:pt>
              </c:numCache>
            </c:numRef>
          </c:xVal>
          <c:yVal>
            <c:numRef>
              <c:f>m!$CP$90:$DT$90</c:f>
              <c:numCache>
                <c:formatCode>General</c:formatCode>
                <c:ptCount val="31"/>
                <c:pt idx="0">
                  <c:v>5.4193347671040568</c:v>
                </c:pt>
                <c:pt idx="1">
                  <c:v>6.8529805604098808</c:v>
                </c:pt>
                <c:pt idx="2">
                  <c:v>5.4979158235517529</c:v>
                </c:pt>
                <c:pt idx="3">
                  <c:v>7.4502001431439764</c:v>
                </c:pt>
                <c:pt idx="4">
                  <c:v>5.5318021576845782</c:v>
                </c:pt>
                <c:pt idx="5">
                  <c:v>5.5776637333934751</c:v>
                </c:pt>
                <c:pt idx="6">
                  <c:v>5.0590639783537945</c:v>
                </c:pt>
                <c:pt idx="7">
                  <c:v>6.8464682065829958</c:v>
                </c:pt>
                <c:pt idx="8">
                  <c:v>6.6543224390188449</c:v>
                </c:pt>
                <c:pt idx="9">
                  <c:v>5.1683830156398898</c:v>
                </c:pt>
                <c:pt idx="10">
                  <c:v>5.594990588667164</c:v>
                </c:pt>
                <c:pt idx="11">
                  <c:v>5.5691169351975658</c:v>
                </c:pt>
                <c:pt idx="12">
                  <c:v>6.2187642280426072</c:v>
                </c:pt>
                <c:pt idx="14">
                  <c:v>4.7683936504633282</c:v>
                </c:pt>
                <c:pt idx="15">
                  <c:v>6.8398595433096556</c:v>
                </c:pt>
                <c:pt idx="18">
                  <c:v>5.6245015284995121</c:v>
                </c:pt>
                <c:pt idx="19">
                  <c:v>5.8791631689856292</c:v>
                </c:pt>
                <c:pt idx="20">
                  <c:v>5.3497595958873392</c:v>
                </c:pt>
                <c:pt idx="21">
                  <c:v>5.3211634390164555</c:v>
                </c:pt>
                <c:pt idx="22">
                  <c:v>4.9082587245668545</c:v>
                </c:pt>
                <c:pt idx="23">
                  <c:v>8.1975543089896643</c:v>
                </c:pt>
                <c:pt idx="24">
                  <c:v>6.8783018648658745</c:v>
                </c:pt>
                <c:pt idx="25">
                  <c:v>8.0220992916744116</c:v>
                </c:pt>
                <c:pt idx="26">
                  <c:v>7.3674932365542176</c:v>
                </c:pt>
                <c:pt idx="27">
                  <c:v>6.412366602952301</c:v>
                </c:pt>
                <c:pt idx="28">
                  <c:v>4.9936302494679827</c:v>
                </c:pt>
                <c:pt idx="29">
                  <c:v>4.9024993379104069</c:v>
                </c:pt>
              </c:numCache>
            </c:numRef>
          </c:yVal>
          <c:smooth val="0"/>
          <c:extLst>
            <c:ext xmlns:c16="http://schemas.microsoft.com/office/drawing/2014/chart" uri="{C3380CC4-5D6E-409C-BE32-E72D297353CC}">
              <c16:uniqueId val="{00000003-40F8-4FAB-8BA5-C61A99DC0DCA}"/>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m!$DU$97:$DX$97</c:f>
              <c:numCache>
                <c:formatCode>General</c:formatCode>
                <c:ptCount val="4"/>
                <c:pt idx="1">
                  <c:v>35151.552735713485</c:v>
                </c:pt>
              </c:numCache>
            </c:numRef>
          </c:xVal>
          <c:yVal>
            <c:numRef>
              <c:f>m!$DU$90:$DX$90</c:f>
              <c:numCache>
                <c:formatCode>General</c:formatCode>
                <c:ptCount val="4"/>
                <c:pt idx="1">
                  <c:v>7.7854864960459267</c:v>
                </c:pt>
              </c:numCache>
            </c:numRef>
          </c:yVal>
          <c:smooth val="0"/>
          <c:extLst>
            <c:ext xmlns:c16="http://schemas.microsoft.com/office/drawing/2014/chart" uri="{C3380CC4-5D6E-409C-BE32-E72D297353CC}">
              <c16:uniqueId val="{00000004-40F8-4FAB-8BA5-C61A99DC0DCA}"/>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m!$DY$97:$EL$97</c:f>
              <c:numCache>
                <c:formatCode>General</c:formatCode>
                <c:ptCount val="14"/>
                <c:pt idx="0">
                  <c:v>17576.085893731368</c:v>
                </c:pt>
                <c:pt idx="1">
                  <c:v>35144.295608788205</c:v>
                </c:pt>
                <c:pt idx="2">
                  <c:v>42171.520099305264</c:v>
                </c:pt>
                <c:pt idx="3">
                  <c:v>49210.205412747564</c:v>
                </c:pt>
                <c:pt idx="4">
                  <c:v>56240.884881270562</c:v>
                </c:pt>
                <c:pt idx="5">
                  <c:v>63257.192310534017</c:v>
                </c:pt>
                <c:pt idx="6">
                  <c:v>70306.627373946336</c:v>
                </c:pt>
                <c:pt idx="7">
                  <c:v>77327.402014481384</c:v>
                </c:pt>
                <c:pt idx="8">
                  <c:v>77340.109306469283</c:v>
                </c:pt>
                <c:pt idx="10">
                  <c:v>105452.14435510467</c:v>
                </c:pt>
                <c:pt idx="11">
                  <c:v>112453.28501651161</c:v>
                </c:pt>
                <c:pt idx="13">
                  <c:v>84342.471340246368</c:v>
                </c:pt>
              </c:numCache>
            </c:numRef>
          </c:xVal>
          <c:yVal>
            <c:numRef>
              <c:f>m!$DY$90:$EL$90</c:f>
              <c:numCache>
                <c:formatCode>General</c:formatCode>
                <c:ptCount val="14"/>
                <c:pt idx="0">
                  <c:v>9.9126672667002698</c:v>
                </c:pt>
                <c:pt idx="1">
                  <c:v>7.8833702476357796</c:v>
                </c:pt>
                <c:pt idx="2">
                  <c:v>7.4410449669162775</c:v>
                </c:pt>
                <c:pt idx="3">
                  <c:v>8.5277178745003859</c:v>
                </c:pt>
                <c:pt idx="4">
                  <c:v>6.6819444392548633</c:v>
                </c:pt>
                <c:pt idx="5">
                  <c:v>8.1725146024073823</c:v>
                </c:pt>
                <c:pt idx="6">
                  <c:v>7.8396125218769326</c:v>
                </c:pt>
                <c:pt idx="7">
                  <c:v>6.52021451328359</c:v>
                </c:pt>
                <c:pt idx="8">
                  <c:v>8.0022562475030163</c:v>
                </c:pt>
                <c:pt idx="10">
                  <c:v>6.8727735020532252</c:v>
                </c:pt>
                <c:pt idx="11">
                  <c:v>6.7032176997414767</c:v>
                </c:pt>
                <c:pt idx="13">
                  <c:v>6.1343399695379084</c:v>
                </c:pt>
              </c:numCache>
            </c:numRef>
          </c:yVal>
          <c:smooth val="0"/>
          <c:extLst>
            <c:ext xmlns:c16="http://schemas.microsoft.com/office/drawing/2014/chart" uri="{C3380CC4-5D6E-409C-BE32-E72D297353CC}">
              <c16:uniqueId val="{00000005-40F8-4FAB-8BA5-C61A99DC0DCA}"/>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m!$AF$97:$AO$97</c:f>
              <c:numCache>
                <c:formatCode>General</c:formatCode>
                <c:ptCount val="10"/>
                <c:pt idx="6">
                  <c:v>5739.5247199186842</c:v>
                </c:pt>
                <c:pt idx="7">
                  <c:v>6496.5831045448413</c:v>
                </c:pt>
                <c:pt idx="8">
                  <c:v>7180.5339851740528</c:v>
                </c:pt>
                <c:pt idx="9">
                  <c:v>7970.3576585245792</c:v>
                </c:pt>
              </c:numCache>
            </c:numRef>
          </c:xVal>
          <c:yVal>
            <c:numRef>
              <c:f>m!$AF$91:$AO$91</c:f>
              <c:numCache>
                <c:formatCode>General</c:formatCode>
                <c:ptCount val="10"/>
                <c:pt idx="6">
                  <c:v>3.9502776072221706</c:v>
                </c:pt>
                <c:pt idx="7">
                  <c:v>3.8204481933278442</c:v>
                </c:pt>
                <c:pt idx="8">
                  <c:v>2.8990463053331168</c:v>
                </c:pt>
                <c:pt idx="9">
                  <c:v>3.0460998559525874</c:v>
                </c:pt>
              </c:numCache>
            </c:numRef>
          </c:yVal>
          <c:smooth val="0"/>
          <c:extLst>
            <c:ext xmlns:c16="http://schemas.microsoft.com/office/drawing/2014/chart" uri="{C3380CC4-5D6E-409C-BE32-E72D297353CC}">
              <c16:uniqueId val="{00000006-40F8-4FAB-8BA5-C61A99DC0DCA}"/>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m!$AP$97:$BL$97</c:f>
              <c:numCache>
                <c:formatCode>General</c:formatCode>
                <c:ptCount val="23"/>
                <c:pt idx="0">
                  <c:v>3524.084561648076</c:v>
                </c:pt>
                <c:pt idx="1">
                  <c:v>5018.3429157745204</c:v>
                </c:pt>
                <c:pt idx="2">
                  <c:v>7444.4856278180305</c:v>
                </c:pt>
                <c:pt idx="3">
                  <c:v>9796.5523160729572</c:v>
                </c:pt>
                <c:pt idx="4">
                  <c:v>12188.93422593086</c:v>
                </c:pt>
                <c:pt idx="6">
                  <c:v>16937.926893855139</c:v>
                </c:pt>
                <c:pt idx="12">
                  <c:v>28488.355262427711</c:v>
                </c:pt>
                <c:pt idx="19">
                  <c:v>4315.5422089456424</c:v>
                </c:pt>
                <c:pt idx="20">
                  <c:v>6242.1820598220374</c:v>
                </c:pt>
                <c:pt idx="21">
                  <c:v>5052.838841899249</c:v>
                </c:pt>
              </c:numCache>
            </c:numRef>
          </c:xVal>
          <c:yVal>
            <c:numRef>
              <c:f>m!$AP$91:$BL$91</c:f>
              <c:numCache>
                <c:formatCode>General</c:formatCode>
                <c:ptCount val="23"/>
                <c:pt idx="0">
                  <c:v>3.9015319384578984</c:v>
                </c:pt>
                <c:pt idx="1">
                  <c:v>4.0324241551015083</c:v>
                </c:pt>
                <c:pt idx="2">
                  <c:v>2.4087539710783048</c:v>
                </c:pt>
                <c:pt idx="3">
                  <c:v>2.5988468550675954</c:v>
                </c:pt>
                <c:pt idx="4">
                  <c:v>2.4975377660733624</c:v>
                </c:pt>
                <c:pt idx="6">
                  <c:v>2.4940490859525726</c:v>
                </c:pt>
                <c:pt idx="12">
                  <c:v>2.077389993099553</c:v>
                </c:pt>
                <c:pt idx="19">
                  <c:v>3.887685418105959</c:v>
                </c:pt>
                <c:pt idx="20">
                  <c:v>3.0668865507265997</c:v>
                </c:pt>
                <c:pt idx="21">
                  <c:v>4.0491103337392174</c:v>
                </c:pt>
              </c:numCache>
            </c:numRef>
          </c:yVal>
          <c:smooth val="0"/>
          <c:extLst>
            <c:ext xmlns:c16="http://schemas.microsoft.com/office/drawing/2014/chart" uri="{C3380CC4-5D6E-409C-BE32-E72D297353CC}">
              <c16:uniqueId val="{00000007-40F8-4FAB-8BA5-C61A99DC0DCA}"/>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m!$BM$97:$CO$97</c:f>
              <c:numCache>
                <c:formatCode>General</c:formatCode>
                <c:ptCount val="29"/>
                <c:pt idx="0">
                  <c:v>4721.7074193452527</c:v>
                </c:pt>
                <c:pt idx="1">
                  <c:v>9726.6372881437601</c:v>
                </c:pt>
                <c:pt idx="3">
                  <c:v>5272.0377319737481</c:v>
                </c:pt>
                <c:pt idx="4">
                  <c:v>6326.0436058044424</c:v>
                </c:pt>
                <c:pt idx="5">
                  <c:v>7378.261340291876</c:v>
                </c:pt>
                <c:pt idx="6">
                  <c:v>8435.2530931171605</c:v>
                </c:pt>
                <c:pt idx="7">
                  <c:v>9486.2737153705784</c:v>
                </c:pt>
                <c:pt idx="8">
                  <c:v>10542.451707940352</c:v>
                </c:pt>
                <c:pt idx="9">
                  <c:v>11597.613284462375</c:v>
                </c:pt>
                <c:pt idx="10">
                  <c:v>13706.039127550626</c:v>
                </c:pt>
                <c:pt idx="11">
                  <c:v>14760.071352908484</c:v>
                </c:pt>
                <c:pt idx="12">
                  <c:v>15814.889104742751</c:v>
                </c:pt>
                <c:pt idx="13">
                  <c:v>5273.1921798304502</c:v>
                </c:pt>
                <c:pt idx="14">
                  <c:v>10545.059254294947</c:v>
                </c:pt>
                <c:pt idx="15">
                  <c:v>10280.193780597887</c:v>
                </c:pt>
                <c:pt idx="16">
                  <c:v>15558.447335895738</c:v>
                </c:pt>
                <c:pt idx="17">
                  <c:v>16869.430792959109</c:v>
                </c:pt>
                <c:pt idx="18">
                  <c:v>17922.500560158176</c:v>
                </c:pt>
                <c:pt idx="19">
                  <c:v>18977.451324462891</c:v>
                </c:pt>
              </c:numCache>
            </c:numRef>
          </c:xVal>
          <c:yVal>
            <c:numRef>
              <c:f>m!$BM$91:$CO$91</c:f>
              <c:numCache>
                <c:formatCode>General</c:formatCode>
                <c:ptCount val="29"/>
                <c:pt idx="0">
                  <c:v>5.6967108509424049</c:v>
                </c:pt>
                <c:pt idx="1">
                  <c:v>6.5764190171402976</c:v>
                </c:pt>
                <c:pt idx="3">
                  <c:v>5.968040531828132</c:v>
                </c:pt>
                <c:pt idx="4">
                  <c:v>8.1684741974599575</c:v>
                </c:pt>
                <c:pt idx="5">
                  <c:v>5.8007139352102666</c:v>
                </c:pt>
                <c:pt idx="6">
                  <c:v>6.0918131305765044</c:v>
                </c:pt>
                <c:pt idx="7">
                  <c:v>8.1174980313774423</c:v>
                </c:pt>
                <c:pt idx="8">
                  <c:v>6.4312736308774889</c:v>
                </c:pt>
                <c:pt idx="9">
                  <c:v>6.3480129336212183</c:v>
                </c:pt>
                <c:pt idx="10">
                  <c:v>5.821324467772973</c:v>
                </c:pt>
                <c:pt idx="11">
                  <c:v>5.7088959001580211</c:v>
                </c:pt>
                <c:pt idx="12">
                  <c:v>5.7910267374423983</c:v>
                </c:pt>
                <c:pt idx="13">
                  <c:v>5.7614092633504805</c:v>
                </c:pt>
                <c:pt idx="14">
                  <c:v>7.0551494435079265</c:v>
                </c:pt>
                <c:pt idx="15">
                  <c:v>6.007268732546347</c:v>
                </c:pt>
                <c:pt idx="16">
                  <c:v>5.930704023686789</c:v>
                </c:pt>
                <c:pt idx="17">
                  <c:v>5.5628819216625125</c:v>
                </c:pt>
                <c:pt idx="18">
                  <c:v>5.362533094226932</c:v>
                </c:pt>
                <c:pt idx="19">
                  <c:v>5.2407446165760785</c:v>
                </c:pt>
              </c:numCache>
            </c:numRef>
          </c:yVal>
          <c:smooth val="0"/>
          <c:extLst>
            <c:ext xmlns:c16="http://schemas.microsoft.com/office/drawing/2014/chart" uri="{C3380CC4-5D6E-409C-BE32-E72D297353CC}">
              <c16:uniqueId val="{00000008-40F8-4FAB-8BA5-C61A99DC0DCA}"/>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m!$CP$97:$DT$97</c:f>
              <c:numCache>
                <c:formatCode>General</c:formatCode>
                <c:ptCount val="31"/>
                <c:pt idx="0">
                  <c:v>10543.522866148696</c:v>
                </c:pt>
                <c:pt idx="1">
                  <c:v>13179.997080250789</c:v>
                </c:pt>
                <c:pt idx="2">
                  <c:v>15821.998056612516</c:v>
                </c:pt>
                <c:pt idx="3">
                  <c:v>18448.555155804279</c:v>
                </c:pt>
                <c:pt idx="4">
                  <c:v>21086.837116040679</c:v>
                </c:pt>
                <c:pt idx="5">
                  <c:v>23724.276768533804</c:v>
                </c:pt>
                <c:pt idx="6">
                  <c:v>26354.516807355376</c:v>
                </c:pt>
                <c:pt idx="7">
                  <c:v>28996.417396946956</c:v>
                </c:pt>
                <c:pt idx="8">
                  <c:v>31627.313086861053</c:v>
                </c:pt>
                <c:pt idx="9">
                  <c:v>34271.139847604849</c:v>
                </c:pt>
                <c:pt idx="10">
                  <c:v>36899.111772838391</c:v>
                </c:pt>
                <c:pt idx="11">
                  <c:v>39541.100200853849</c:v>
                </c:pt>
                <c:pt idx="12">
                  <c:v>42167.456526505317</c:v>
                </c:pt>
                <c:pt idx="14">
                  <c:v>42166.355409120253</c:v>
                </c:pt>
                <c:pt idx="15">
                  <c:v>7907.3004032436156</c:v>
                </c:pt>
                <c:pt idx="18">
                  <c:v>44812.356170855062</c:v>
                </c:pt>
                <c:pt idx="19">
                  <c:v>50089.080082742781</c:v>
                </c:pt>
                <c:pt idx="20">
                  <c:v>55348.208076075498</c:v>
                </c:pt>
                <c:pt idx="21">
                  <c:v>60637.185448094409</c:v>
                </c:pt>
                <c:pt idx="22">
                  <c:v>65929.506954393888</c:v>
                </c:pt>
                <c:pt idx="23">
                  <c:v>5271.2312654445032</c:v>
                </c:pt>
                <c:pt idx="24">
                  <c:v>7908.2242752376351</c:v>
                </c:pt>
                <c:pt idx="25">
                  <c:v>6328.2910146211316</c:v>
                </c:pt>
                <c:pt idx="26">
                  <c:v>9490.3166356839611</c:v>
                </c:pt>
                <c:pt idx="27">
                  <c:v>7380.2353520142387</c:v>
                </c:pt>
                <c:pt idx="28">
                  <c:v>39536.231442501667</c:v>
                </c:pt>
                <c:pt idx="29">
                  <c:v>47447.421048816876</c:v>
                </c:pt>
              </c:numCache>
            </c:numRef>
          </c:xVal>
          <c:yVal>
            <c:numRef>
              <c:f>m!$CP$91:$DT$91</c:f>
              <c:numCache>
                <c:formatCode>General</c:formatCode>
                <c:ptCount val="31"/>
                <c:pt idx="0">
                  <c:v>4.5300019054238749</c:v>
                </c:pt>
                <c:pt idx="1">
                  <c:v>4.5178025027989275</c:v>
                </c:pt>
                <c:pt idx="2">
                  <c:v>3.3950746364407207</c:v>
                </c:pt>
                <c:pt idx="3">
                  <c:v>5.7763007234186681</c:v>
                </c:pt>
                <c:pt idx="4">
                  <c:v>4.3065710023871615</c:v>
                </c:pt>
                <c:pt idx="5">
                  <c:v>3.8827381995634402</c:v>
                </c:pt>
                <c:pt idx="6">
                  <c:v>3.2487249458002383</c:v>
                </c:pt>
                <c:pt idx="7">
                  <c:v>5.3426987492817899</c:v>
                </c:pt>
                <c:pt idx="8">
                  <c:v>5.6472978874878201</c:v>
                </c:pt>
                <c:pt idx="9">
                  <c:v>4.1587397095032008</c:v>
                </c:pt>
                <c:pt idx="10">
                  <c:v>4.7838482341628046</c:v>
                </c:pt>
                <c:pt idx="11">
                  <c:v>4.9225301746781893</c:v>
                </c:pt>
                <c:pt idx="12">
                  <c:v>4.8966046339725624</c:v>
                </c:pt>
                <c:pt idx="14">
                  <c:v>3.9966525665694972</c:v>
                </c:pt>
                <c:pt idx="15">
                  <c:v>4.6938071324304609</c:v>
                </c:pt>
                <c:pt idx="18">
                  <c:v>5.0267580592225674</c:v>
                </c:pt>
                <c:pt idx="19">
                  <c:v>4.6038320806672992</c:v>
                </c:pt>
                <c:pt idx="20">
                  <c:v>5.2977799679061315</c:v>
                </c:pt>
                <c:pt idx="21">
                  <c:v>4.5548018302270039</c:v>
                </c:pt>
                <c:pt idx="22">
                  <c:v>4.4326497440326262</c:v>
                </c:pt>
                <c:pt idx="23">
                  <c:v>6.7354522978189433</c:v>
                </c:pt>
                <c:pt idx="24">
                  <c:v>5.5850136200566656</c:v>
                </c:pt>
                <c:pt idx="25">
                  <c:v>5.4551141788760695</c:v>
                </c:pt>
                <c:pt idx="26">
                  <c:v>4.9167729735368271</c:v>
                </c:pt>
                <c:pt idx="27">
                  <c:v>4.8519257534729014</c:v>
                </c:pt>
                <c:pt idx="28">
                  <c:v>4.7537157090149353</c:v>
                </c:pt>
                <c:pt idx="29">
                  <c:v>4.327704405636295</c:v>
                </c:pt>
              </c:numCache>
            </c:numRef>
          </c:yVal>
          <c:smooth val="0"/>
          <c:extLst>
            <c:ext xmlns:c16="http://schemas.microsoft.com/office/drawing/2014/chart" uri="{C3380CC4-5D6E-409C-BE32-E72D297353CC}">
              <c16:uniqueId val="{00000009-40F8-4FAB-8BA5-C61A99DC0DCA}"/>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m!$DU$97:$DX$97</c:f>
              <c:numCache>
                <c:formatCode>General</c:formatCode>
                <c:ptCount val="4"/>
                <c:pt idx="1">
                  <c:v>35151.552735713485</c:v>
                </c:pt>
              </c:numCache>
            </c:numRef>
          </c:xVal>
          <c:yVal>
            <c:numRef>
              <c:f>m!$DU$91:$DX$91</c:f>
              <c:numCache>
                <c:formatCode>General</c:formatCode>
                <c:ptCount val="4"/>
                <c:pt idx="1">
                  <c:v>5.9805420003862961</c:v>
                </c:pt>
              </c:numCache>
            </c:numRef>
          </c:yVal>
          <c:smooth val="0"/>
          <c:extLst>
            <c:ext xmlns:c16="http://schemas.microsoft.com/office/drawing/2014/chart" uri="{C3380CC4-5D6E-409C-BE32-E72D297353CC}">
              <c16:uniqueId val="{0000000A-40F8-4FAB-8BA5-C61A99DC0DCA}"/>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m!$DY$97:$EL$97</c:f>
              <c:numCache>
                <c:formatCode>General</c:formatCode>
                <c:ptCount val="14"/>
                <c:pt idx="0">
                  <c:v>17576.085893731368</c:v>
                </c:pt>
                <c:pt idx="1">
                  <c:v>35144.295608788205</c:v>
                </c:pt>
                <c:pt idx="2">
                  <c:v>42171.520099305264</c:v>
                </c:pt>
                <c:pt idx="3">
                  <c:v>49210.205412747564</c:v>
                </c:pt>
                <c:pt idx="4">
                  <c:v>56240.884881270562</c:v>
                </c:pt>
                <c:pt idx="5">
                  <c:v>63257.192310534017</c:v>
                </c:pt>
                <c:pt idx="6">
                  <c:v>70306.627373946336</c:v>
                </c:pt>
                <c:pt idx="7">
                  <c:v>77327.402014481384</c:v>
                </c:pt>
                <c:pt idx="8">
                  <c:v>77340.109306469283</c:v>
                </c:pt>
                <c:pt idx="10">
                  <c:v>105452.14435510467</c:v>
                </c:pt>
                <c:pt idx="11">
                  <c:v>112453.28501651161</c:v>
                </c:pt>
                <c:pt idx="13">
                  <c:v>84342.471340246368</c:v>
                </c:pt>
              </c:numCache>
            </c:numRef>
          </c:xVal>
          <c:yVal>
            <c:numRef>
              <c:f>m!$DY$91:$EL$91</c:f>
              <c:numCache>
                <c:formatCode>General</c:formatCode>
                <c:ptCount val="14"/>
                <c:pt idx="0">
                  <c:v>5.9773958684019037</c:v>
                </c:pt>
                <c:pt idx="1">
                  <c:v>5.8402406967730096</c:v>
                </c:pt>
                <c:pt idx="2">
                  <c:v>6.3259605248394033</c:v>
                </c:pt>
                <c:pt idx="3">
                  <c:v>7.7415138100193532</c:v>
                </c:pt>
                <c:pt idx="4">
                  <c:v>6.155654344805801</c:v>
                </c:pt>
                <c:pt idx="5">
                  <c:v>6.1121726207461435</c:v>
                </c:pt>
                <c:pt idx="6">
                  <c:v>6.157519329771306</c:v>
                </c:pt>
                <c:pt idx="7">
                  <c:v>5.4328051641445443</c:v>
                </c:pt>
                <c:pt idx="8">
                  <c:v>6.3578452876193943</c:v>
                </c:pt>
                <c:pt idx="10">
                  <c:v>5.2365612840392179</c:v>
                </c:pt>
                <c:pt idx="11">
                  <c:v>5.1665061144228064</c:v>
                </c:pt>
                <c:pt idx="13">
                  <c:v>5.0320384230931241</c:v>
                </c:pt>
              </c:numCache>
            </c:numRef>
          </c:yVal>
          <c:smooth val="0"/>
          <c:extLst>
            <c:ext xmlns:c16="http://schemas.microsoft.com/office/drawing/2014/chart" uri="{C3380CC4-5D6E-409C-BE32-E72D297353CC}">
              <c16:uniqueId val="{0000000B-40F8-4FAB-8BA5-C61A99DC0DCA}"/>
            </c:ext>
          </c:extLst>
        </c:ser>
        <c:dLbls>
          <c:showLegendKey val="0"/>
          <c:showVal val="0"/>
          <c:showCatName val="0"/>
          <c:showSerName val="0"/>
          <c:showPercent val="0"/>
          <c:showBubbleSize val="0"/>
        </c:dLbls>
        <c:axId val="624399680"/>
        <c:axId val="624400008"/>
        <c:extLst/>
      </c:scatterChart>
      <c:valAx>
        <c:axId val="624399680"/>
        <c:scaling>
          <c:logBase val="10"/>
          <c:orientation val="minMax"/>
          <c:min val="100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Reynolds Number,  UD/ν</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_(* #,##0_);_(* \(#,##0\);_(* &quot;-&quot;_);_(@_)"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Normalized RMS bending strain amplitude,  ϵ̃ = ϵ/[(R</a:t>
                </a:r>
                <a:r>
                  <a:rPr lang="en-US" sz="1400" b="0" i="0" u="none" strike="noStrike" baseline="-25000">
                    <a:effectLst/>
                  </a:rPr>
                  <a:t>ϵ</a:t>
                </a:r>
                <a:r>
                  <a:rPr lang="en-US" sz="1400" b="0" i="0" u="none" strike="noStrike" baseline="0">
                    <a:effectLst/>
                  </a:rPr>
                  <a:t> D)/ L</a:t>
                </a:r>
                <a:r>
                  <a:rPr lang="en-US" sz="1400" b="0" i="0" u="none" strike="noStrike" baseline="-25000">
                    <a:effectLst/>
                  </a:rPr>
                  <a:t>st</a:t>
                </a:r>
                <a:r>
                  <a:rPr lang="en-US" sz="1400" b="0" i="0" u="none" strike="noStrike" baseline="30000">
                    <a:effectLst/>
                  </a:rPr>
                  <a:t>2</a:t>
                </a:r>
                <a:r>
                  <a:rPr lang="en-US" sz="1400" b="0" i="0" u="none" strike="noStrike" baseline="0">
                    <a:effectLst/>
                  </a:rPr>
                  <a:t>]</a:t>
                </a:r>
                <a:endParaRPr lang="en-US"/>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m!$AF$97:$AO$97</c:f>
              <c:numCache>
                <c:formatCode>General</c:formatCode>
                <c:ptCount val="10"/>
                <c:pt idx="6">
                  <c:v>5739.5247199186842</c:v>
                </c:pt>
                <c:pt idx="7">
                  <c:v>6496.5831045448413</c:v>
                </c:pt>
                <c:pt idx="8">
                  <c:v>7180.5339851740528</c:v>
                </c:pt>
                <c:pt idx="9">
                  <c:v>7970.3576585245792</c:v>
                </c:pt>
              </c:numCache>
            </c:numRef>
          </c:xVal>
          <c:yVal>
            <c:numRef>
              <c:f>m!$AF$95:$AO$95</c:f>
              <c:numCache>
                <c:formatCode>General</c:formatCode>
                <c:ptCount val="10"/>
                <c:pt idx="6">
                  <c:v>6.0414806166082506</c:v>
                </c:pt>
                <c:pt idx="7">
                  <c:v>6.1292359928204512</c:v>
                </c:pt>
                <c:pt idx="8">
                  <c:v>5.2848958185987494</c:v>
                </c:pt>
                <c:pt idx="9">
                  <c:v>4.2979154085934459</c:v>
                </c:pt>
              </c:numCache>
            </c:numRef>
          </c:yVal>
          <c:smooth val="0"/>
          <c:extLst>
            <c:ext xmlns:c16="http://schemas.microsoft.com/office/drawing/2014/chart" uri="{C3380CC4-5D6E-409C-BE32-E72D297353CC}">
              <c16:uniqueId val="{00000000-D13C-4C8D-80E7-612C3D8F11A0}"/>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m!$AP$97:$BL$97</c:f>
              <c:numCache>
                <c:formatCode>General</c:formatCode>
                <c:ptCount val="23"/>
                <c:pt idx="0">
                  <c:v>3524.084561648076</c:v>
                </c:pt>
                <c:pt idx="1">
                  <c:v>5018.3429157745204</c:v>
                </c:pt>
                <c:pt idx="2">
                  <c:v>7444.4856278180305</c:v>
                </c:pt>
                <c:pt idx="3">
                  <c:v>9796.5523160729572</c:v>
                </c:pt>
                <c:pt idx="4">
                  <c:v>12188.93422593086</c:v>
                </c:pt>
                <c:pt idx="6">
                  <c:v>16937.926893855139</c:v>
                </c:pt>
                <c:pt idx="12">
                  <c:v>28488.355262427711</c:v>
                </c:pt>
                <c:pt idx="19">
                  <c:v>4315.5422089456424</c:v>
                </c:pt>
                <c:pt idx="20">
                  <c:v>6242.1820598220374</c:v>
                </c:pt>
                <c:pt idx="21">
                  <c:v>5052.838841899249</c:v>
                </c:pt>
              </c:numCache>
            </c:numRef>
          </c:xVal>
          <c:yVal>
            <c:numRef>
              <c:f>m!$AP$95:$BL$95</c:f>
              <c:numCache>
                <c:formatCode>General</c:formatCode>
                <c:ptCount val="23"/>
                <c:pt idx="0">
                  <c:v>5.0532147082786567</c:v>
                </c:pt>
                <c:pt idx="1">
                  <c:v>3.6133175421953494</c:v>
                </c:pt>
                <c:pt idx="2">
                  <c:v>4.4434942874585293</c:v>
                </c:pt>
                <c:pt idx="3">
                  <c:v>4.9154385147601225</c:v>
                </c:pt>
                <c:pt idx="4">
                  <c:v>5.3963977447979259</c:v>
                </c:pt>
                <c:pt idx="6">
                  <c:v>3.52255142553093</c:v>
                </c:pt>
                <c:pt idx="12">
                  <c:v>4.1401928182528742</c:v>
                </c:pt>
                <c:pt idx="19">
                  <c:v>4.490854651714832</c:v>
                </c:pt>
                <c:pt idx="20">
                  <c:v>4.8959517967458943</c:v>
                </c:pt>
                <c:pt idx="21">
                  <c:v>3.8939295934451761</c:v>
                </c:pt>
              </c:numCache>
            </c:numRef>
          </c:yVal>
          <c:smooth val="0"/>
          <c:extLst>
            <c:ext xmlns:c16="http://schemas.microsoft.com/office/drawing/2014/chart" uri="{C3380CC4-5D6E-409C-BE32-E72D297353CC}">
              <c16:uniqueId val="{00000001-D13C-4C8D-80E7-612C3D8F11A0}"/>
            </c:ext>
          </c:extLst>
        </c:ser>
        <c:ser>
          <c:idx val="11"/>
          <c:order val="2"/>
          <c:tx>
            <c:v>CF, Pipe 1</c:v>
          </c:tx>
          <c:spPr>
            <a:ln w="25400" cap="rnd">
              <a:noFill/>
              <a:round/>
            </a:ln>
            <a:effectLst/>
          </c:spPr>
          <c:marker>
            <c:symbol val="x"/>
            <c:size val="7"/>
            <c:spPr>
              <a:noFill/>
              <a:ln w="15875">
                <a:solidFill>
                  <a:schemeClr val="accent6"/>
                </a:solidFill>
              </a:ln>
              <a:effectLst/>
            </c:spPr>
          </c:marker>
          <c:xVal>
            <c:numRef>
              <c:f>m!$BM$97:$CO$97</c:f>
              <c:numCache>
                <c:formatCode>General</c:formatCode>
                <c:ptCount val="29"/>
                <c:pt idx="0">
                  <c:v>4721.7074193452527</c:v>
                </c:pt>
                <c:pt idx="1">
                  <c:v>9726.6372881437601</c:v>
                </c:pt>
                <c:pt idx="3">
                  <c:v>5272.0377319737481</c:v>
                </c:pt>
                <c:pt idx="4">
                  <c:v>6326.0436058044424</c:v>
                </c:pt>
                <c:pt idx="5">
                  <c:v>7378.261340291876</c:v>
                </c:pt>
                <c:pt idx="6">
                  <c:v>8435.2530931171605</c:v>
                </c:pt>
                <c:pt idx="7">
                  <c:v>9486.2737153705784</c:v>
                </c:pt>
                <c:pt idx="8">
                  <c:v>10542.451707940352</c:v>
                </c:pt>
                <c:pt idx="9">
                  <c:v>11597.613284462375</c:v>
                </c:pt>
                <c:pt idx="10">
                  <c:v>13706.039127550626</c:v>
                </c:pt>
                <c:pt idx="11">
                  <c:v>14760.071352908484</c:v>
                </c:pt>
                <c:pt idx="12">
                  <c:v>15814.889104742751</c:v>
                </c:pt>
                <c:pt idx="13">
                  <c:v>5273.1921798304502</c:v>
                </c:pt>
                <c:pt idx="14">
                  <c:v>10545.059254294947</c:v>
                </c:pt>
                <c:pt idx="15">
                  <c:v>10280.193780597887</c:v>
                </c:pt>
                <c:pt idx="16">
                  <c:v>15558.447335895738</c:v>
                </c:pt>
                <c:pt idx="17">
                  <c:v>16869.430792959109</c:v>
                </c:pt>
                <c:pt idx="18">
                  <c:v>17922.500560158176</c:v>
                </c:pt>
                <c:pt idx="19">
                  <c:v>18977.451324462891</c:v>
                </c:pt>
              </c:numCache>
            </c:numRef>
          </c:xVal>
          <c:yVal>
            <c:numRef>
              <c:f>m!$BM$95:$CO$95</c:f>
              <c:numCache>
                <c:formatCode>General</c:formatCode>
                <c:ptCount val="29"/>
                <c:pt idx="0">
                  <c:v>10.120470713192889</c:v>
                </c:pt>
                <c:pt idx="1">
                  <c:v>8.9453772336192614</c:v>
                </c:pt>
                <c:pt idx="3">
                  <c:v>10.611578666711525</c:v>
                </c:pt>
                <c:pt idx="4">
                  <c:v>13.484969152564005</c:v>
                </c:pt>
                <c:pt idx="5">
                  <c:v>9.6684949677469909</c:v>
                </c:pt>
                <c:pt idx="6">
                  <c:v>10.056504925363537</c:v>
                </c:pt>
                <c:pt idx="7">
                  <c:v>11.387889643620143</c:v>
                </c:pt>
                <c:pt idx="8">
                  <c:v>9.5704123434084227</c:v>
                </c:pt>
                <c:pt idx="9">
                  <c:v>9.3655475104383363</c:v>
                </c:pt>
                <c:pt idx="10">
                  <c:v>7.9975610372982713</c:v>
                </c:pt>
                <c:pt idx="11">
                  <c:v>8.2532209331067783</c:v>
                </c:pt>
                <c:pt idx="12">
                  <c:v>7.954322186490991</c:v>
                </c:pt>
                <c:pt idx="13">
                  <c:v>10.007795801208351</c:v>
                </c:pt>
                <c:pt idx="14">
                  <c:v>9.8621963860643529</c:v>
                </c:pt>
                <c:pt idx="15">
                  <c:v>9.4519747608689038</c:v>
                </c:pt>
                <c:pt idx="16">
                  <c:v>7.5048349972577322</c:v>
                </c:pt>
                <c:pt idx="17">
                  <c:v>7.5765537722697776</c:v>
                </c:pt>
                <c:pt idx="18">
                  <c:v>6.4600890770907728</c:v>
                </c:pt>
                <c:pt idx="19">
                  <c:v>6.3590149916729768</c:v>
                </c:pt>
              </c:numCache>
            </c:numRef>
          </c:yVal>
          <c:smooth val="0"/>
          <c:extLst>
            <c:ext xmlns:c16="http://schemas.microsoft.com/office/drawing/2014/chart" uri="{C3380CC4-5D6E-409C-BE32-E72D297353CC}">
              <c16:uniqueId val="{00000002-D13C-4C8D-80E7-612C3D8F11A0}"/>
            </c:ext>
          </c:extLst>
        </c:ser>
        <c:ser>
          <c:idx val="13"/>
          <c:order val="3"/>
          <c:tx>
            <c:v>CF, Pipe 2</c:v>
          </c:tx>
          <c:spPr>
            <a:ln w="25400" cap="rnd">
              <a:noFill/>
              <a:round/>
            </a:ln>
            <a:effectLst/>
          </c:spPr>
          <c:marker>
            <c:symbol val="x"/>
            <c:size val="7"/>
            <c:spPr>
              <a:noFill/>
              <a:ln w="15875">
                <a:solidFill>
                  <a:srgbClr val="00B0F0"/>
                </a:solidFill>
              </a:ln>
              <a:effectLst/>
            </c:spPr>
          </c:marker>
          <c:xVal>
            <c:numRef>
              <c:f>m!$CP$97:$DT$97</c:f>
              <c:numCache>
                <c:formatCode>General</c:formatCode>
                <c:ptCount val="31"/>
                <c:pt idx="0">
                  <c:v>10543.522866148696</c:v>
                </c:pt>
                <c:pt idx="1">
                  <c:v>13179.997080250789</c:v>
                </c:pt>
                <c:pt idx="2">
                  <c:v>15821.998056612516</c:v>
                </c:pt>
                <c:pt idx="3">
                  <c:v>18448.555155804279</c:v>
                </c:pt>
                <c:pt idx="4">
                  <c:v>21086.837116040679</c:v>
                </c:pt>
                <c:pt idx="5">
                  <c:v>23724.276768533804</c:v>
                </c:pt>
                <c:pt idx="6">
                  <c:v>26354.516807355376</c:v>
                </c:pt>
                <c:pt idx="7">
                  <c:v>28996.417396946956</c:v>
                </c:pt>
                <c:pt idx="8">
                  <c:v>31627.313086861053</c:v>
                </c:pt>
                <c:pt idx="9">
                  <c:v>34271.139847604849</c:v>
                </c:pt>
                <c:pt idx="10">
                  <c:v>36899.111772838391</c:v>
                </c:pt>
                <c:pt idx="11">
                  <c:v>39541.100200853849</c:v>
                </c:pt>
                <c:pt idx="12">
                  <c:v>42167.456526505317</c:v>
                </c:pt>
                <c:pt idx="14">
                  <c:v>42166.355409120253</c:v>
                </c:pt>
                <c:pt idx="15">
                  <c:v>7907.3004032436156</c:v>
                </c:pt>
                <c:pt idx="18">
                  <c:v>44812.356170855062</c:v>
                </c:pt>
                <c:pt idx="19">
                  <c:v>50089.080082742781</c:v>
                </c:pt>
                <c:pt idx="20">
                  <c:v>55348.208076075498</c:v>
                </c:pt>
                <c:pt idx="21">
                  <c:v>60637.185448094409</c:v>
                </c:pt>
                <c:pt idx="22">
                  <c:v>65929.506954393888</c:v>
                </c:pt>
                <c:pt idx="23">
                  <c:v>5271.2312654445032</c:v>
                </c:pt>
                <c:pt idx="24">
                  <c:v>7908.2242752376351</c:v>
                </c:pt>
                <c:pt idx="25">
                  <c:v>6328.2910146211316</c:v>
                </c:pt>
                <c:pt idx="26">
                  <c:v>9490.3166356839611</c:v>
                </c:pt>
                <c:pt idx="27">
                  <c:v>7380.2353520142387</c:v>
                </c:pt>
                <c:pt idx="28">
                  <c:v>39536.231442501667</c:v>
                </c:pt>
                <c:pt idx="29">
                  <c:v>47447.421048816876</c:v>
                </c:pt>
              </c:numCache>
            </c:numRef>
          </c:xVal>
          <c:yVal>
            <c:numRef>
              <c:f>m!$CP$95:$DT$95</c:f>
              <c:numCache>
                <c:formatCode>General</c:formatCode>
                <c:ptCount val="31"/>
                <c:pt idx="0">
                  <c:v>7.230064864592558</c:v>
                </c:pt>
                <c:pt idx="1">
                  <c:v>7.8432795970043863</c:v>
                </c:pt>
                <c:pt idx="2">
                  <c:v>7.1611992718238096</c:v>
                </c:pt>
                <c:pt idx="3">
                  <c:v>8.5921413030732001</c:v>
                </c:pt>
                <c:pt idx="4">
                  <c:v>6.661272134560023</c:v>
                </c:pt>
                <c:pt idx="5">
                  <c:v>7.7435399296450607</c:v>
                </c:pt>
                <c:pt idx="6">
                  <c:v>6.1997981508460969</c:v>
                </c:pt>
                <c:pt idx="7">
                  <c:v>7.7408089896434431</c:v>
                </c:pt>
                <c:pt idx="8">
                  <c:v>8.6625983848095451</c:v>
                </c:pt>
                <c:pt idx="9">
                  <c:v>6.621771797238047</c:v>
                </c:pt>
                <c:pt idx="10">
                  <c:v>6.9659330774762003</c:v>
                </c:pt>
                <c:pt idx="11">
                  <c:v>7.1453382407870949</c:v>
                </c:pt>
                <c:pt idx="12">
                  <c:v>8.4516911292205865</c:v>
                </c:pt>
                <c:pt idx="14">
                  <c:v>6.0778760902500926</c:v>
                </c:pt>
                <c:pt idx="15">
                  <c:v>8.6619524722903734</c:v>
                </c:pt>
                <c:pt idx="18">
                  <c:v>7.3483443733593532</c:v>
                </c:pt>
                <c:pt idx="19">
                  <c:v>8.0072612621981989</c:v>
                </c:pt>
                <c:pt idx="20">
                  <c:v>7.0758839302446521</c:v>
                </c:pt>
                <c:pt idx="21">
                  <c:v>6.8389367669751673</c:v>
                </c:pt>
                <c:pt idx="22">
                  <c:v>6.2031731981670291</c:v>
                </c:pt>
                <c:pt idx="23">
                  <c:v>9.608322876774281</c:v>
                </c:pt>
                <c:pt idx="24">
                  <c:v>8.2080991638713332</c:v>
                </c:pt>
                <c:pt idx="25">
                  <c:v>10.795030638909601</c:v>
                </c:pt>
                <c:pt idx="26">
                  <c:v>9.9406684789797772</c:v>
                </c:pt>
                <c:pt idx="27">
                  <c:v>7.6699085645929568</c:v>
                </c:pt>
                <c:pt idx="28">
                  <c:v>6.1233547438995259</c:v>
                </c:pt>
                <c:pt idx="29">
                  <c:v>6.1359189433264092</c:v>
                </c:pt>
              </c:numCache>
            </c:numRef>
          </c:yVal>
          <c:smooth val="0"/>
          <c:extLst>
            <c:ext xmlns:c16="http://schemas.microsoft.com/office/drawing/2014/chart" uri="{C3380CC4-5D6E-409C-BE32-E72D297353CC}">
              <c16:uniqueId val="{00000003-D13C-4C8D-80E7-612C3D8F11A0}"/>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m!$DU$97:$DX$97</c:f>
              <c:numCache>
                <c:formatCode>General</c:formatCode>
                <c:ptCount val="4"/>
                <c:pt idx="1">
                  <c:v>35151.552735713485</c:v>
                </c:pt>
              </c:numCache>
            </c:numRef>
          </c:xVal>
          <c:yVal>
            <c:numRef>
              <c:f>m!$DU$95:$DX$95</c:f>
              <c:numCache>
                <c:formatCode>General</c:formatCode>
                <c:ptCount val="4"/>
                <c:pt idx="1">
                  <c:v>11.627400337732656</c:v>
                </c:pt>
              </c:numCache>
            </c:numRef>
          </c:yVal>
          <c:smooth val="0"/>
          <c:extLst>
            <c:ext xmlns:c16="http://schemas.microsoft.com/office/drawing/2014/chart" uri="{C3380CC4-5D6E-409C-BE32-E72D297353CC}">
              <c16:uniqueId val="{00000004-D13C-4C8D-80E7-612C3D8F11A0}"/>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m!$DY$97:$EL$97</c:f>
              <c:numCache>
                <c:formatCode>General</c:formatCode>
                <c:ptCount val="14"/>
                <c:pt idx="0">
                  <c:v>17576.085893731368</c:v>
                </c:pt>
                <c:pt idx="1">
                  <c:v>35144.295608788205</c:v>
                </c:pt>
                <c:pt idx="2">
                  <c:v>42171.520099305264</c:v>
                </c:pt>
                <c:pt idx="3">
                  <c:v>49210.205412747564</c:v>
                </c:pt>
                <c:pt idx="4">
                  <c:v>56240.884881270562</c:v>
                </c:pt>
                <c:pt idx="5">
                  <c:v>63257.192310534017</c:v>
                </c:pt>
                <c:pt idx="6">
                  <c:v>70306.627373946336</c:v>
                </c:pt>
                <c:pt idx="7">
                  <c:v>77327.402014481384</c:v>
                </c:pt>
                <c:pt idx="8">
                  <c:v>77340.109306469283</c:v>
                </c:pt>
                <c:pt idx="10">
                  <c:v>105452.14435510467</c:v>
                </c:pt>
                <c:pt idx="11">
                  <c:v>112453.28501651161</c:v>
                </c:pt>
                <c:pt idx="13">
                  <c:v>84342.471340246368</c:v>
                </c:pt>
              </c:numCache>
            </c:numRef>
          </c:xVal>
          <c:yVal>
            <c:numRef>
              <c:f>m!$DY$95:$EL$95</c:f>
              <c:numCache>
                <c:formatCode>General</c:formatCode>
                <c:ptCount val="14"/>
                <c:pt idx="0">
                  <c:v>11.841933921401584</c:v>
                </c:pt>
                <c:pt idx="1">
                  <c:v>10.112716420782542</c:v>
                </c:pt>
                <c:pt idx="2">
                  <c:v>10.75326981223963</c:v>
                </c:pt>
                <c:pt idx="3">
                  <c:v>12.593437950738654</c:v>
                </c:pt>
                <c:pt idx="4">
                  <c:v>9.9708079988168254</c:v>
                </c:pt>
                <c:pt idx="5">
                  <c:v>12.57159489291657</c:v>
                </c:pt>
                <c:pt idx="6">
                  <c:v>11.025393435074347</c:v>
                </c:pt>
                <c:pt idx="7">
                  <c:v>8.8729996804417208</c:v>
                </c:pt>
                <c:pt idx="8">
                  <c:v>12.254596368878824</c:v>
                </c:pt>
                <c:pt idx="10">
                  <c:v>9.2304269063872528</c:v>
                </c:pt>
                <c:pt idx="11">
                  <c:v>10.128045629794443</c:v>
                </c:pt>
                <c:pt idx="13">
                  <c:v>8.7481293899266319</c:v>
                </c:pt>
              </c:numCache>
            </c:numRef>
          </c:yVal>
          <c:smooth val="0"/>
          <c:extLst>
            <c:ext xmlns:c16="http://schemas.microsoft.com/office/drawing/2014/chart" uri="{C3380CC4-5D6E-409C-BE32-E72D297353CC}">
              <c16:uniqueId val="{00000005-D13C-4C8D-80E7-612C3D8F11A0}"/>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m!$AF$97:$AO$97</c:f>
              <c:numCache>
                <c:formatCode>General</c:formatCode>
                <c:ptCount val="10"/>
                <c:pt idx="6">
                  <c:v>5739.5247199186842</c:v>
                </c:pt>
                <c:pt idx="7">
                  <c:v>6496.5831045448413</c:v>
                </c:pt>
                <c:pt idx="8">
                  <c:v>7180.5339851740528</c:v>
                </c:pt>
                <c:pt idx="9">
                  <c:v>7970.3576585245792</c:v>
                </c:pt>
              </c:numCache>
            </c:numRef>
          </c:xVal>
          <c:yVal>
            <c:numRef>
              <c:f>m!$AF$96:$AO$96</c:f>
              <c:numCache>
                <c:formatCode>General</c:formatCode>
                <c:ptCount val="10"/>
                <c:pt idx="6">
                  <c:v>4.6527598235675249</c:v>
                </c:pt>
                <c:pt idx="7">
                  <c:v>4.2805274655235781</c:v>
                </c:pt>
                <c:pt idx="8">
                  <c:v>3.4393569277814708</c:v>
                </c:pt>
                <c:pt idx="9">
                  <c:v>3.6129037340831314</c:v>
                </c:pt>
              </c:numCache>
            </c:numRef>
          </c:yVal>
          <c:smooth val="0"/>
          <c:extLst>
            <c:ext xmlns:c16="http://schemas.microsoft.com/office/drawing/2014/chart" uri="{C3380CC4-5D6E-409C-BE32-E72D297353CC}">
              <c16:uniqueId val="{00000006-D13C-4C8D-80E7-612C3D8F11A0}"/>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m!$AP$97:$BL$97</c:f>
              <c:numCache>
                <c:formatCode>General</c:formatCode>
                <c:ptCount val="23"/>
                <c:pt idx="0">
                  <c:v>3524.084561648076</c:v>
                </c:pt>
                <c:pt idx="1">
                  <c:v>5018.3429157745204</c:v>
                </c:pt>
                <c:pt idx="2">
                  <c:v>7444.4856278180305</c:v>
                </c:pt>
                <c:pt idx="3">
                  <c:v>9796.5523160729572</c:v>
                </c:pt>
                <c:pt idx="4">
                  <c:v>12188.93422593086</c:v>
                </c:pt>
                <c:pt idx="6">
                  <c:v>16937.926893855139</c:v>
                </c:pt>
                <c:pt idx="12">
                  <c:v>28488.355262427711</c:v>
                </c:pt>
                <c:pt idx="19">
                  <c:v>4315.5422089456424</c:v>
                </c:pt>
                <c:pt idx="20">
                  <c:v>6242.1820598220374</c:v>
                </c:pt>
                <c:pt idx="21">
                  <c:v>5052.838841899249</c:v>
                </c:pt>
              </c:numCache>
            </c:numRef>
          </c:xVal>
          <c:yVal>
            <c:numRef>
              <c:f>m!$AP$96:$BL$96</c:f>
              <c:numCache>
                <c:formatCode>General</c:formatCode>
                <c:ptCount val="23"/>
                <c:pt idx="0">
                  <c:v>5.4755784611121161</c:v>
                </c:pt>
                <c:pt idx="1">
                  <c:v>5.1682826595532747</c:v>
                </c:pt>
                <c:pt idx="2">
                  <c:v>3.0985995787371445</c:v>
                </c:pt>
                <c:pt idx="3">
                  <c:v>3.134879815279314</c:v>
                </c:pt>
                <c:pt idx="4">
                  <c:v>3.0033011206407316</c:v>
                </c:pt>
                <c:pt idx="6">
                  <c:v>2.9529997740314693</c:v>
                </c:pt>
                <c:pt idx="12">
                  <c:v>2.536745078640724</c:v>
                </c:pt>
                <c:pt idx="19">
                  <c:v>5.2461545091174413</c:v>
                </c:pt>
                <c:pt idx="20">
                  <c:v>3.8667689214808134</c:v>
                </c:pt>
                <c:pt idx="21">
                  <c:v>5.2126574434788768</c:v>
                </c:pt>
              </c:numCache>
            </c:numRef>
          </c:yVal>
          <c:smooth val="0"/>
          <c:extLst>
            <c:ext xmlns:c16="http://schemas.microsoft.com/office/drawing/2014/chart" uri="{C3380CC4-5D6E-409C-BE32-E72D297353CC}">
              <c16:uniqueId val="{00000007-D13C-4C8D-80E7-612C3D8F11A0}"/>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m!$BM$97:$CO$97</c:f>
              <c:numCache>
                <c:formatCode>General</c:formatCode>
                <c:ptCount val="29"/>
                <c:pt idx="0">
                  <c:v>4721.7074193452527</c:v>
                </c:pt>
                <c:pt idx="1">
                  <c:v>9726.6372881437601</c:v>
                </c:pt>
                <c:pt idx="3">
                  <c:v>5272.0377319737481</c:v>
                </c:pt>
                <c:pt idx="4">
                  <c:v>6326.0436058044424</c:v>
                </c:pt>
                <c:pt idx="5">
                  <c:v>7378.261340291876</c:v>
                </c:pt>
                <c:pt idx="6">
                  <c:v>8435.2530931171605</c:v>
                </c:pt>
                <c:pt idx="7">
                  <c:v>9486.2737153705784</c:v>
                </c:pt>
                <c:pt idx="8">
                  <c:v>10542.451707940352</c:v>
                </c:pt>
                <c:pt idx="9">
                  <c:v>11597.613284462375</c:v>
                </c:pt>
                <c:pt idx="10">
                  <c:v>13706.039127550626</c:v>
                </c:pt>
                <c:pt idx="11">
                  <c:v>14760.071352908484</c:v>
                </c:pt>
                <c:pt idx="12">
                  <c:v>15814.889104742751</c:v>
                </c:pt>
                <c:pt idx="13">
                  <c:v>5273.1921798304502</c:v>
                </c:pt>
                <c:pt idx="14">
                  <c:v>10545.059254294947</c:v>
                </c:pt>
                <c:pt idx="15">
                  <c:v>10280.193780597887</c:v>
                </c:pt>
                <c:pt idx="16">
                  <c:v>15558.447335895738</c:v>
                </c:pt>
                <c:pt idx="17">
                  <c:v>16869.430792959109</c:v>
                </c:pt>
                <c:pt idx="18">
                  <c:v>17922.500560158176</c:v>
                </c:pt>
                <c:pt idx="19">
                  <c:v>18977.451324462891</c:v>
                </c:pt>
              </c:numCache>
            </c:numRef>
          </c:xVal>
          <c:yVal>
            <c:numRef>
              <c:f>m!$BM$96:$CO$96</c:f>
              <c:numCache>
                <c:formatCode>General</c:formatCode>
                <c:ptCount val="29"/>
                <c:pt idx="0">
                  <c:v>7.7033235890944756</c:v>
                </c:pt>
                <c:pt idx="1">
                  <c:v>9.1444916587946974</c:v>
                </c:pt>
                <c:pt idx="3">
                  <c:v>8.7140648971788437</c:v>
                </c:pt>
                <c:pt idx="4">
                  <c:v>12.927157671770168</c:v>
                </c:pt>
                <c:pt idx="5">
                  <c:v>8.3600761384121469</c:v>
                </c:pt>
                <c:pt idx="6">
                  <c:v>8.9999781210833945</c:v>
                </c:pt>
                <c:pt idx="7">
                  <c:v>11.710147435168425</c:v>
                </c:pt>
                <c:pt idx="8">
                  <c:v>9.6604016799591612</c:v>
                </c:pt>
                <c:pt idx="9">
                  <c:v>8.9844518836473455</c:v>
                </c:pt>
                <c:pt idx="10">
                  <c:v>8.1478940601600911</c:v>
                </c:pt>
                <c:pt idx="11">
                  <c:v>7.9194530647955013</c:v>
                </c:pt>
                <c:pt idx="12">
                  <c:v>8.4688373486197897</c:v>
                </c:pt>
                <c:pt idx="13">
                  <c:v>8.1654266073084845</c:v>
                </c:pt>
                <c:pt idx="14">
                  <c:v>10.157317419596724</c:v>
                </c:pt>
                <c:pt idx="15">
                  <c:v>8.4459765120883326</c:v>
                </c:pt>
                <c:pt idx="16">
                  <c:v>8.8566927659923493</c:v>
                </c:pt>
                <c:pt idx="17">
                  <c:v>7.9864493524762779</c:v>
                </c:pt>
                <c:pt idx="18">
                  <c:v>7.5929751024784267</c:v>
                </c:pt>
                <c:pt idx="19">
                  <c:v>7.0417931291632536</c:v>
                </c:pt>
              </c:numCache>
            </c:numRef>
          </c:yVal>
          <c:smooth val="0"/>
          <c:extLst>
            <c:ext xmlns:c16="http://schemas.microsoft.com/office/drawing/2014/chart" uri="{C3380CC4-5D6E-409C-BE32-E72D297353CC}">
              <c16:uniqueId val="{00000008-D13C-4C8D-80E7-612C3D8F11A0}"/>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m!$CP$97:$DT$97</c:f>
              <c:numCache>
                <c:formatCode>General</c:formatCode>
                <c:ptCount val="31"/>
                <c:pt idx="0">
                  <c:v>10543.522866148696</c:v>
                </c:pt>
                <c:pt idx="1">
                  <c:v>13179.997080250789</c:v>
                </c:pt>
                <c:pt idx="2">
                  <c:v>15821.998056612516</c:v>
                </c:pt>
                <c:pt idx="3">
                  <c:v>18448.555155804279</c:v>
                </c:pt>
                <c:pt idx="4">
                  <c:v>21086.837116040679</c:v>
                </c:pt>
                <c:pt idx="5">
                  <c:v>23724.276768533804</c:v>
                </c:pt>
                <c:pt idx="6">
                  <c:v>26354.516807355376</c:v>
                </c:pt>
                <c:pt idx="7">
                  <c:v>28996.417396946956</c:v>
                </c:pt>
                <c:pt idx="8">
                  <c:v>31627.313086861053</c:v>
                </c:pt>
                <c:pt idx="9">
                  <c:v>34271.139847604849</c:v>
                </c:pt>
                <c:pt idx="10">
                  <c:v>36899.111772838391</c:v>
                </c:pt>
                <c:pt idx="11">
                  <c:v>39541.100200853849</c:v>
                </c:pt>
                <c:pt idx="12">
                  <c:v>42167.456526505317</c:v>
                </c:pt>
                <c:pt idx="14">
                  <c:v>42166.355409120253</c:v>
                </c:pt>
                <c:pt idx="15">
                  <c:v>7907.3004032436156</c:v>
                </c:pt>
                <c:pt idx="18">
                  <c:v>44812.356170855062</c:v>
                </c:pt>
                <c:pt idx="19">
                  <c:v>50089.080082742781</c:v>
                </c:pt>
                <c:pt idx="20">
                  <c:v>55348.208076075498</c:v>
                </c:pt>
                <c:pt idx="21">
                  <c:v>60637.185448094409</c:v>
                </c:pt>
                <c:pt idx="22">
                  <c:v>65929.506954393888</c:v>
                </c:pt>
                <c:pt idx="23">
                  <c:v>5271.2312654445032</c:v>
                </c:pt>
                <c:pt idx="24">
                  <c:v>7908.2242752376351</c:v>
                </c:pt>
                <c:pt idx="25">
                  <c:v>6328.2910146211316</c:v>
                </c:pt>
                <c:pt idx="26">
                  <c:v>9490.3166356839611</c:v>
                </c:pt>
                <c:pt idx="27">
                  <c:v>7380.2353520142387</c:v>
                </c:pt>
                <c:pt idx="28">
                  <c:v>39536.231442501667</c:v>
                </c:pt>
                <c:pt idx="29">
                  <c:v>47447.421048816876</c:v>
                </c:pt>
              </c:numCache>
            </c:numRef>
          </c:xVal>
          <c:yVal>
            <c:numRef>
              <c:f>m!$CP$96:$DT$96</c:f>
              <c:numCache>
                <c:formatCode>General</c:formatCode>
                <c:ptCount val="31"/>
                <c:pt idx="0">
                  <c:v>6.6249810457925706</c:v>
                </c:pt>
                <c:pt idx="1">
                  <c:v>5.9447274054537775</c:v>
                </c:pt>
                <c:pt idx="2">
                  <c:v>4.3790295625014277</c:v>
                </c:pt>
                <c:pt idx="3">
                  <c:v>7.0215974595106143</c:v>
                </c:pt>
                <c:pt idx="4">
                  <c:v>5.4768436761823818</c:v>
                </c:pt>
                <c:pt idx="5">
                  <c:v>4.8822056936446092</c:v>
                </c:pt>
                <c:pt idx="6">
                  <c:v>4.4672288224686083</c:v>
                </c:pt>
                <c:pt idx="7">
                  <c:v>6.5369518717044457</c:v>
                </c:pt>
                <c:pt idx="8">
                  <c:v>7.9590472097189648</c:v>
                </c:pt>
                <c:pt idx="9">
                  <c:v>5.4878070883378705</c:v>
                </c:pt>
                <c:pt idx="10">
                  <c:v>6.5026988056572304</c:v>
                </c:pt>
                <c:pt idx="11">
                  <c:v>6.329848379965453</c:v>
                </c:pt>
                <c:pt idx="12">
                  <c:v>6.2013253457317621</c:v>
                </c:pt>
                <c:pt idx="14">
                  <c:v>5.2492619268133645</c:v>
                </c:pt>
                <c:pt idx="15">
                  <c:v>6.3209002515631276</c:v>
                </c:pt>
                <c:pt idx="18">
                  <c:v>6.4868297836002924</c:v>
                </c:pt>
                <c:pt idx="19">
                  <c:v>5.827620282954654</c:v>
                </c:pt>
                <c:pt idx="20">
                  <c:v>7.0663143302767422</c:v>
                </c:pt>
                <c:pt idx="21">
                  <c:v>5.9628619384453367</c:v>
                </c:pt>
                <c:pt idx="22">
                  <c:v>5.5226853762264438</c:v>
                </c:pt>
                <c:pt idx="23">
                  <c:v>9.7019903060697743</c:v>
                </c:pt>
                <c:pt idx="24">
                  <c:v>7.6053639768993335</c:v>
                </c:pt>
                <c:pt idx="25">
                  <c:v>7.5584542426748964</c:v>
                </c:pt>
                <c:pt idx="26">
                  <c:v>6.9427008530083283</c:v>
                </c:pt>
                <c:pt idx="27">
                  <c:v>6.4055240885023839</c:v>
                </c:pt>
                <c:pt idx="28">
                  <c:v>5.9595789339150782</c:v>
                </c:pt>
                <c:pt idx="29">
                  <c:v>5.8625018670641422</c:v>
                </c:pt>
              </c:numCache>
            </c:numRef>
          </c:yVal>
          <c:smooth val="0"/>
          <c:extLst>
            <c:ext xmlns:c16="http://schemas.microsoft.com/office/drawing/2014/chart" uri="{C3380CC4-5D6E-409C-BE32-E72D297353CC}">
              <c16:uniqueId val="{00000009-D13C-4C8D-80E7-612C3D8F11A0}"/>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m!$DU$97:$DX$97</c:f>
              <c:numCache>
                <c:formatCode>General</c:formatCode>
                <c:ptCount val="4"/>
                <c:pt idx="1">
                  <c:v>35151.552735713485</c:v>
                </c:pt>
              </c:numCache>
            </c:numRef>
          </c:xVal>
          <c:yVal>
            <c:numRef>
              <c:f>m!$DU$96:$DX$96</c:f>
              <c:numCache>
                <c:formatCode>General</c:formatCode>
                <c:ptCount val="4"/>
                <c:pt idx="1">
                  <c:v>8.5837852954236631</c:v>
                </c:pt>
              </c:numCache>
            </c:numRef>
          </c:yVal>
          <c:smooth val="0"/>
          <c:extLst>
            <c:ext xmlns:c16="http://schemas.microsoft.com/office/drawing/2014/chart" uri="{C3380CC4-5D6E-409C-BE32-E72D297353CC}">
              <c16:uniqueId val="{0000000A-D13C-4C8D-80E7-612C3D8F11A0}"/>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m!$DY$97:$EL$97</c:f>
              <c:numCache>
                <c:formatCode>General</c:formatCode>
                <c:ptCount val="14"/>
                <c:pt idx="0">
                  <c:v>17576.085893731368</c:v>
                </c:pt>
                <c:pt idx="1">
                  <c:v>35144.295608788205</c:v>
                </c:pt>
                <c:pt idx="2">
                  <c:v>42171.520099305264</c:v>
                </c:pt>
                <c:pt idx="3">
                  <c:v>49210.205412747564</c:v>
                </c:pt>
                <c:pt idx="4">
                  <c:v>56240.884881270562</c:v>
                </c:pt>
                <c:pt idx="5">
                  <c:v>63257.192310534017</c:v>
                </c:pt>
                <c:pt idx="6">
                  <c:v>70306.627373946336</c:v>
                </c:pt>
                <c:pt idx="7">
                  <c:v>77327.402014481384</c:v>
                </c:pt>
                <c:pt idx="8">
                  <c:v>77340.109306469283</c:v>
                </c:pt>
                <c:pt idx="10">
                  <c:v>105452.14435510467</c:v>
                </c:pt>
                <c:pt idx="11">
                  <c:v>112453.28501651161</c:v>
                </c:pt>
                <c:pt idx="13">
                  <c:v>84342.471340246368</c:v>
                </c:pt>
              </c:numCache>
            </c:numRef>
          </c:xVal>
          <c:yVal>
            <c:numRef>
              <c:f>m!$DY$96:$EL$96</c:f>
              <c:numCache>
                <c:formatCode>General</c:formatCode>
                <c:ptCount val="14"/>
                <c:pt idx="0">
                  <c:v>8.0736939293288259</c:v>
                </c:pt>
                <c:pt idx="1">
                  <c:v>8.5723204770723118</c:v>
                </c:pt>
                <c:pt idx="2">
                  <c:v>9.3688715981853772</c:v>
                </c:pt>
                <c:pt idx="3">
                  <c:v>11.808645757253798</c:v>
                </c:pt>
                <c:pt idx="4">
                  <c:v>9.3027335683988124</c:v>
                </c:pt>
                <c:pt idx="5">
                  <c:v>8.8407959437509973</c:v>
                </c:pt>
                <c:pt idx="6">
                  <c:v>9.4797698241348378</c:v>
                </c:pt>
                <c:pt idx="7">
                  <c:v>7.8622566156607085</c:v>
                </c:pt>
                <c:pt idx="8">
                  <c:v>9.6176111415033159</c:v>
                </c:pt>
                <c:pt idx="10">
                  <c:v>7.4199267899654808</c:v>
                </c:pt>
                <c:pt idx="11">
                  <c:v>7.9053481326688049</c:v>
                </c:pt>
                <c:pt idx="13">
                  <c:v>7.3530728474436851</c:v>
                </c:pt>
              </c:numCache>
            </c:numRef>
          </c:yVal>
          <c:smooth val="0"/>
          <c:extLst>
            <c:ext xmlns:c16="http://schemas.microsoft.com/office/drawing/2014/chart" uri="{C3380CC4-5D6E-409C-BE32-E72D297353CC}">
              <c16:uniqueId val="{0000000B-D13C-4C8D-80E7-612C3D8F11A0}"/>
            </c:ext>
          </c:extLst>
        </c:ser>
        <c:dLbls>
          <c:showLegendKey val="0"/>
          <c:showVal val="0"/>
          <c:showCatName val="0"/>
          <c:showSerName val="0"/>
          <c:showPercent val="0"/>
          <c:showBubbleSize val="0"/>
        </c:dLbls>
        <c:axId val="624399680"/>
        <c:axId val="624400008"/>
        <c:extLst>
          <c:ext xmlns:c15="http://schemas.microsoft.com/office/drawing/2012/chart" uri="{02D57815-91ED-43cb-92C2-25804820EDAC}">
            <c15:filteredScatterSeries>
              <c15:ser>
                <c:idx val="1"/>
                <c:order val="12"/>
                <c:tx>
                  <c:v>In Line, OL</c:v>
                </c:tx>
                <c:spPr>
                  <a:ln w="25400" cap="rnd">
                    <a:noFill/>
                    <a:round/>
                  </a:ln>
                  <a:effectLst/>
                </c:spPr>
                <c:marker>
                  <c:symbol val="circle"/>
                  <c:size val="7"/>
                  <c:spPr>
                    <a:noFill/>
                    <a:ln w="15875">
                      <a:solidFill>
                        <a:schemeClr val="tx1"/>
                      </a:solidFill>
                    </a:ln>
                    <a:effectLst/>
                  </c:spPr>
                </c:marker>
                <c:xVal>
                  <c:numRef>
                    <c:extLst>
                      <c:ext uri="{02D57815-91ED-43cb-92C2-25804820EDAC}">
                        <c15:formulaRef>
                          <c15:sqref>m!$AF$86:$AO$86</c15:sqref>
                        </c15:formulaRef>
                      </c:ext>
                    </c:extLst>
                    <c:numCache>
                      <c:formatCode>General</c:formatCode>
                      <c:ptCount val="10"/>
                      <c:pt idx="6">
                        <c:v>2.60569650261762</c:v>
                      </c:pt>
                      <c:pt idx="7">
                        <c:v>2.8052504067622763</c:v>
                      </c:pt>
                      <c:pt idx="8">
                        <c:v>2.9780821140943421</c:v>
                      </c:pt>
                      <c:pt idx="9">
                        <c:v>3.163643721763262</c:v>
                      </c:pt>
                    </c:numCache>
                  </c:numRef>
                </c:xVal>
                <c:yVal>
                  <c:numRef>
                    <c:extLst>
                      <c:ext uri="{02D57815-91ED-43cb-92C2-25804820EDAC}">
                        <c15:formulaRef>
                          <c15:sqref>m!$AF$91:$AO$91</c15:sqref>
                        </c15:formulaRef>
                      </c:ext>
                    </c:extLst>
                    <c:numCache>
                      <c:formatCode>General</c:formatCode>
                      <c:ptCount val="10"/>
                      <c:pt idx="6">
                        <c:v>3.9502776072221706</c:v>
                      </c:pt>
                      <c:pt idx="7">
                        <c:v>3.8204481933278442</c:v>
                      </c:pt>
                      <c:pt idx="8">
                        <c:v>2.8990463053331168</c:v>
                      </c:pt>
                      <c:pt idx="9">
                        <c:v>3.0460998559525874</c:v>
                      </c:pt>
                    </c:numCache>
                  </c:numRef>
                </c:yVal>
                <c:smooth val="0"/>
                <c:extLst>
                  <c:ext xmlns:c16="http://schemas.microsoft.com/office/drawing/2014/chart" uri="{C3380CC4-5D6E-409C-BE32-E72D297353CC}">
                    <c16:uniqueId val="{0000000C-D13C-4C8D-80E7-612C3D8F11A0}"/>
                  </c:ext>
                </c:extLst>
              </c15:ser>
            </c15:filteredScatterSeries>
            <c15:filteredScatterSeries>
              <c15:ser>
                <c:idx val="2"/>
                <c:order val="13"/>
                <c:tx>
                  <c:v>In Line, EM</c:v>
                </c:tx>
                <c:spPr>
                  <a:ln w="25400" cap="rnd">
                    <a:noFill/>
                    <a:round/>
                  </a:ln>
                  <a:effectLst/>
                </c:spPr>
                <c:marker>
                  <c:symbol val="circle"/>
                  <c:size val="7"/>
                  <c:spPr>
                    <a:noFill/>
                    <a:ln w="15875">
                      <a:solidFill>
                        <a:schemeClr val="accent3"/>
                      </a:solidFill>
                    </a:ln>
                    <a:effectLst/>
                  </c:spPr>
                </c:marker>
                <c:xVal>
                  <c:numRef>
                    <c:extLst xmlns:c15="http://schemas.microsoft.com/office/drawing/2012/chart">
                      <c:ext xmlns:c15="http://schemas.microsoft.com/office/drawing/2012/chart" uri="{02D57815-91ED-43cb-92C2-25804820EDAC}">
                        <c15:formulaRef>
                          <c15:sqref>m!$AP$86:$BL$86</c15:sqref>
                        </c15:formulaRef>
                      </c:ext>
                    </c:extLst>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extLst xmlns:c15="http://schemas.microsoft.com/office/drawing/2012/chart">
                      <c:ext xmlns:c15="http://schemas.microsoft.com/office/drawing/2012/chart" uri="{02D57815-91ED-43cb-92C2-25804820EDAC}">
                        <c15:formulaRef>
                          <c15:sqref>m!$AP$91:$BL$91</c15:sqref>
                        </c15:formulaRef>
                      </c:ext>
                    </c:extLst>
                    <c:numCache>
                      <c:formatCode>General</c:formatCode>
                      <c:ptCount val="23"/>
                      <c:pt idx="0">
                        <c:v>3.9015319384578984</c:v>
                      </c:pt>
                      <c:pt idx="1">
                        <c:v>4.0324241551015083</c:v>
                      </c:pt>
                      <c:pt idx="2">
                        <c:v>2.4087539710783048</c:v>
                      </c:pt>
                      <c:pt idx="3">
                        <c:v>2.5988468550675954</c:v>
                      </c:pt>
                      <c:pt idx="4">
                        <c:v>2.4975377660733624</c:v>
                      </c:pt>
                      <c:pt idx="6">
                        <c:v>2.4940490859525726</c:v>
                      </c:pt>
                      <c:pt idx="12">
                        <c:v>2.077389993099553</c:v>
                      </c:pt>
                      <c:pt idx="19">
                        <c:v>3.887685418105959</c:v>
                      </c:pt>
                      <c:pt idx="20">
                        <c:v>3.0668865507265997</c:v>
                      </c:pt>
                      <c:pt idx="21">
                        <c:v>4.0491103337392174</c:v>
                      </c:pt>
                    </c:numCache>
                  </c:numRef>
                </c:yVal>
                <c:smooth val="0"/>
                <c:extLst xmlns:c15="http://schemas.microsoft.com/office/drawing/2012/chart">
                  <c:ext xmlns:c16="http://schemas.microsoft.com/office/drawing/2014/chart" uri="{C3380CC4-5D6E-409C-BE32-E72D297353CC}">
                    <c16:uniqueId val="{0000000D-D13C-4C8D-80E7-612C3D8F11A0}"/>
                  </c:ext>
                </c:extLst>
              </c15:ser>
            </c15:filteredScatterSeries>
            <c15:filteredScatterSeries>
              <c15:ser>
                <c:idx val="3"/>
                <c:order val="14"/>
                <c:tx>
                  <c:v>In Line, Shell</c:v>
                </c:tx>
                <c:spPr>
                  <a:ln w="25400" cap="rnd">
                    <a:noFill/>
                    <a:round/>
                  </a:ln>
                  <a:effectLst/>
                </c:spPr>
                <c:marker>
                  <c:symbol val="circle"/>
                  <c:size val="7"/>
                  <c:spPr>
                    <a:noFill/>
                    <a:ln w="15875">
                      <a:solidFill>
                        <a:schemeClr val="accent2"/>
                      </a:solidFill>
                    </a:ln>
                    <a:effectLst/>
                  </c:spPr>
                </c:marker>
                <c:xVal>
                  <c:numRef>
                    <c:extLst xmlns:c15="http://schemas.microsoft.com/office/drawing/2012/chart">
                      <c:ext xmlns:c15="http://schemas.microsoft.com/office/drawing/2012/chart" uri="{02D57815-91ED-43cb-92C2-25804820EDAC}">
                        <c15:formulaRef>
                          <c15:sqref>m!$DU$86:$DX$86</c15:sqref>
                        </c15:formulaRef>
                      </c:ext>
                    </c:extLst>
                    <c:numCache>
                      <c:formatCode>General</c:formatCode>
                      <c:ptCount val="4"/>
                      <c:pt idx="1">
                        <c:v>3.8469075681895233</c:v>
                      </c:pt>
                    </c:numCache>
                  </c:numRef>
                </c:xVal>
                <c:yVal>
                  <c:numRef>
                    <c:extLst xmlns:c15="http://schemas.microsoft.com/office/drawing/2012/chart">
                      <c:ext xmlns:c15="http://schemas.microsoft.com/office/drawing/2012/chart" uri="{02D57815-91ED-43cb-92C2-25804820EDAC}">
                        <c15:formulaRef>
                          <c15:sqref>m!$DU$91:$DX$91</c15:sqref>
                        </c15:formulaRef>
                      </c:ext>
                    </c:extLst>
                    <c:numCache>
                      <c:formatCode>General</c:formatCode>
                      <c:ptCount val="4"/>
                      <c:pt idx="1">
                        <c:v>5.9805420003862961</c:v>
                      </c:pt>
                    </c:numCache>
                  </c:numRef>
                </c:yVal>
                <c:smooth val="0"/>
                <c:extLst xmlns:c15="http://schemas.microsoft.com/office/drawing/2012/chart">
                  <c:ext xmlns:c16="http://schemas.microsoft.com/office/drawing/2014/chart" uri="{C3380CC4-5D6E-409C-BE32-E72D297353CC}">
                    <c16:uniqueId val="{0000000E-D13C-4C8D-80E7-612C3D8F11A0}"/>
                  </c:ext>
                </c:extLst>
              </c15:ser>
            </c15:filteredScatterSeries>
          </c:ext>
        </c:extLst>
      </c:scatterChart>
      <c:valAx>
        <c:axId val="624399680"/>
        <c:scaling>
          <c:logBase val="10"/>
          <c:orientation val="minMax"/>
          <c:min val="100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Reynolds Number,  UD/ν</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_(* #,##0_);_(* \(#,##0\);_(* &quot;-&quot;_);_(@_)"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baseline="0">
                    <a:effectLst/>
                  </a:rPr>
                  <a:t>Normalized Fatigue-Equivalent Strain Amplitude,   ϵ̃</a:t>
                </a:r>
                <a:r>
                  <a:rPr lang="en-US" sz="1400" b="0" i="0" baseline="-25000">
                    <a:effectLst/>
                  </a:rPr>
                  <a:t>e</a:t>
                </a:r>
                <a:r>
                  <a:rPr lang="en-US" sz="1400" b="0" i="0" baseline="0">
                    <a:effectLst/>
                  </a:rPr>
                  <a:t> = ϵ</a:t>
                </a:r>
                <a:r>
                  <a:rPr lang="en-US" sz="1400" b="0" i="0" baseline="-25000">
                    <a:effectLst/>
                  </a:rPr>
                  <a:t>e</a:t>
                </a:r>
                <a:r>
                  <a:rPr lang="en-US" sz="1400" b="0" i="0" baseline="0">
                    <a:effectLst/>
                  </a:rPr>
                  <a:t>/(R</a:t>
                </a:r>
                <a:r>
                  <a:rPr lang="en-US" sz="1400" b="0" i="0" baseline="-25000">
                    <a:effectLst/>
                  </a:rPr>
                  <a:t>ϵ</a:t>
                </a:r>
                <a:r>
                  <a:rPr lang="en-US" sz="1400" b="0" i="0" baseline="0">
                    <a:effectLst/>
                  </a:rPr>
                  <a:t>D/L</a:t>
                </a:r>
                <a:r>
                  <a:rPr lang="en-US" sz="1400" b="0" i="0" baseline="-25000">
                    <a:effectLst/>
                  </a:rPr>
                  <a:t>st</a:t>
                </a:r>
                <a:r>
                  <a:rPr lang="en-US" sz="1400" b="0" i="0" baseline="30000">
                    <a:effectLst/>
                  </a:rPr>
                  <a:t>2</a:t>
                </a:r>
                <a:r>
                  <a:rPr lang="en-US" sz="1400" b="0" i="0" baseline="0">
                    <a:effectLst/>
                  </a:rPr>
                  <a:t>)</a:t>
                </a:r>
                <a:endParaRPr lang="en-US" sz="1400">
                  <a:effectLst/>
                </a:endParaRPr>
              </a:p>
            </c:rich>
          </c:tx>
          <c:layout>
            <c:manualLayout>
              <c:xMode val="edge"/>
              <c:yMode val="edge"/>
              <c:x val="1.2786980528916013E-2"/>
              <c:y val="5.1139526362623478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extLst xmlns:c15="http://schemas.microsoft.com/office/drawing/2012/chart"/>
            </c:numRef>
          </c:xVal>
          <c:yVal>
            <c:numRef>
              <c:f>m!$AF$118:$AO$118</c:f>
              <c:numCache>
                <c:formatCode>General</c:formatCode>
                <c:ptCount val="10"/>
                <c:pt idx="6">
                  <c:v>1.1546151646085583</c:v>
                </c:pt>
                <c:pt idx="7">
                  <c:v>1.1552428220694375</c:v>
                </c:pt>
                <c:pt idx="8">
                  <c:v>1.1352067176190823</c:v>
                </c:pt>
                <c:pt idx="9">
                  <c:v>1.0810755260267768</c:v>
                </c:pt>
              </c:numCache>
            </c:numRef>
          </c:yVal>
          <c:smooth val="0"/>
          <c:extLst xmlns:c15="http://schemas.microsoft.com/office/drawing/2012/chart">
            <c:ext xmlns:c16="http://schemas.microsoft.com/office/drawing/2014/chart" uri="{C3380CC4-5D6E-409C-BE32-E72D297353CC}">
              <c16:uniqueId val="{00000000-321B-4FC8-8C1D-EE432BFFAB58}"/>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extLst xmlns:c15="http://schemas.microsoft.com/office/drawing/2012/chart"/>
            </c:numRef>
          </c:xVal>
          <c:yVal>
            <c:numRef>
              <c:f>m!$AP$118:$BL$118</c:f>
              <c:numCache>
                <c:formatCode>General</c:formatCode>
                <c:ptCount val="23"/>
                <c:pt idx="0">
                  <c:v>1.243984539182355</c:v>
                </c:pt>
                <c:pt idx="1">
                  <c:v>1.1468301748660079</c:v>
                </c:pt>
                <c:pt idx="2">
                  <c:v>1.0633687880767526</c:v>
                </c:pt>
                <c:pt idx="3">
                  <c:v>1.1076945911657357</c:v>
                </c:pt>
                <c:pt idx="4">
                  <c:v>1.0623799420260445</c:v>
                </c:pt>
                <c:pt idx="6">
                  <c:v>0.92901331031001122</c:v>
                </c:pt>
                <c:pt idx="12">
                  <c:v>1.0035582421579063</c:v>
                </c:pt>
                <c:pt idx="19">
                  <c:v>1.2914051893201628</c:v>
                </c:pt>
                <c:pt idx="20">
                  <c:v>0.97730657043625957</c:v>
                </c:pt>
                <c:pt idx="21">
                  <c:v>1.1724663134287669</c:v>
                </c:pt>
              </c:numCache>
            </c:numRef>
          </c:yVal>
          <c:smooth val="0"/>
          <c:extLst xmlns:c15="http://schemas.microsoft.com/office/drawing/2012/chart">
            <c:ext xmlns:c16="http://schemas.microsoft.com/office/drawing/2014/chart" uri="{C3380CC4-5D6E-409C-BE32-E72D297353CC}">
              <c16:uniqueId val="{00000001-321B-4FC8-8C1D-EE432BFFAB58}"/>
            </c:ext>
          </c:extLst>
        </c:ser>
        <c:ser>
          <c:idx val="11"/>
          <c:order val="2"/>
          <c:tx>
            <c:v>CF, Pipe 1</c:v>
          </c:tx>
          <c:spPr>
            <a:ln w="25400" cap="rnd">
              <a:noFill/>
              <a:round/>
            </a:ln>
            <a:effectLst/>
          </c:spPr>
          <c:marker>
            <c:symbol val="x"/>
            <c:size val="7"/>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extLst xmlns:c15="http://schemas.microsoft.com/office/drawing/2012/chart"/>
            </c:numRef>
          </c:xVal>
          <c:yVal>
            <c:numRef>
              <c:f>m!$BM$118:$CO$118</c:f>
              <c:numCache>
                <c:formatCode>General</c:formatCode>
                <c:ptCount val="29"/>
                <c:pt idx="0">
                  <c:v>1.3427320498774216</c:v>
                </c:pt>
                <c:pt idx="1">
                  <c:v>1.3244839482248416</c:v>
                </c:pt>
                <c:pt idx="3">
                  <c:v>1.5360114145124946</c:v>
                </c:pt>
                <c:pt idx="4">
                  <c:v>1.5350900536251595</c:v>
                </c:pt>
                <c:pt idx="5">
                  <c:v>1.4049896122304495</c:v>
                </c:pt>
                <c:pt idx="6">
                  <c:v>1.4196887949922639</c:v>
                </c:pt>
                <c:pt idx="7">
                  <c:v>1.4361363107323364</c:v>
                </c:pt>
                <c:pt idx="8">
                  <c:v>1.4206928322613162</c:v>
                </c:pt>
                <c:pt idx="9">
                  <c:v>1.3598122128337322</c:v>
                </c:pt>
                <c:pt idx="10">
                  <c:v>1.3180146381717237</c:v>
                </c:pt>
                <c:pt idx="11">
                  <c:v>1.3388112539933303</c:v>
                </c:pt>
                <c:pt idx="12">
                  <c:v>1.3552202758936438</c:v>
                </c:pt>
                <c:pt idx="13">
                  <c:v>1.4749788785851994</c:v>
                </c:pt>
                <c:pt idx="14">
                  <c:v>1.3660678419398677</c:v>
                </c:pt>
                <c:pt idx="15">
                  <c:v>1.3614336236338755</c:v>
                </c:pt>
                <c:pt idx="16">
                  <c:v>1.3754433781955395</c:v>
                </c:pt>
                <c:pt idx="17">
                  <c:v>1.3395445103687245</c:v>
                </c:pt>
                <c:pt idx="18">
                  <c:v>1.3364278729737564</c:v>
                </c:pt>
                <c:pt idx="19">
                  <c:v>1.3194314314206148</c:v>
                </c:pt>
              </c:numCache>
            </c:numRef>
          </c:yVal>
          <c:smooth val="0"/>
          <c:extLst xmlns:c15="http://schemas.microsoft.com/office/drawing/2012/chart">
            <c:ext xmlns:c16="http://schemas.microsoft.com/office/drawing/2014/chart" uri="{C3380CC4-5D6E-409C-BE32-E72D297353CC}">
              <c16:uniqueId val="{00000002-321B-4FC8-8C1D-EE432BFFAB58}"/>
            </c:ext>
          </c:extLst>
        </c:ser>
        <c:ser>
          <c:idx val="13"/>
          <c:order val="3"/>
          <c:tx>
            <c:v>CF, Pipe 2</c:v>
          </c:tx>
          <c:spPr>
            <a:ln w="25400" cap="rnd">
              <a:noFill/>
              <a:round/>
            </a:ln>
            <a:effectLst/>
          </c:spPr>
          <c:marker>
            <c:symbol val="x"/>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extLst xmlns:c15="http://schemas.microsoft.com/office/drawing/2012/chart"/>
            </c:numRef>
          </c:xVal>
          <c:yVal>
            <c:numRef>
              <c:f>m!$CP$118:$DT$118</c:f>
              <c:numCache>
                <c:formatCode>General</c:formatCode>
                <c:ptCount val="31"/>
                <c:pt idx="0">
                  <c:v>1.3341240530996217</c:v>
                </c:pt>
                <c:pt idx="1">
                  <c:v>1.1445063250748919</c:v>
                </c:pt>
                <c:pt idx="2">
                  <c:v>1.3025298134152854</c:v>
                </c:pt>
                <c:pt idx="3">
                  <c:v>1.1532765748555214</c:v>
                </c:pt>
                <c:pt idx="4">
                  <c:v>1.2041775798699572</c:v>
                </c:pt>
                <c:pt idx="5">
                  <c:v>1.3883124368513799</c:v>
                </c:pt>
                <c:pt idx="6">
                  <c:v>1.2254832469747683</c:v>
                </c:pt>
                <c:pt idx="7">
                  <c:v>1.1306280488092419</c:v>
                </c:pt>
                <c:pt idx="8">
                  <c:v>1.3018002154531623</c:v>
                </c:pt>
                <c:pt idx="9">
                  <c:v>1.2812076382884359</c:v>
                </c:pt>
                <c:pt idx="10">
                  <c:v>1.2450303476087923</c:v>
                </c:pt>
                <c:pt idx="11">
                  <c:v>1.2830289476645029</c:v>
                </c:pt>
                <c:pt idx="12">
                  <c:v>1.3590628007906977</c:v>
                </c:pt>
                <c:pt idx="14">
                  <c:v>1.2746171008049065</c:v>
                </c:pt>
                <c:pt idx="15">
                  <c:v>1.2663933253955457</c:v>
                </c:pt>
                <c:pt idx="18">
                  <c:v>1.3064881103018782</c:v>
                </c:pt>
                <c:pt idx="19">
                  <c:v>1.3619729597638883</c:v>
                </c:pt>
                <c:pt idx="20">
                  <c:v>1.3226545610917324</c:v>
                </c:pt>
                <c:pt idx="21">
                  <c:v>1.2852333602140309</c:v>
                </c:pt>
                <c:pt idx="22">
                  <c:v>1.2638235973826846</c:v>
                </c:pt>
                <c:pt idx="23">
                  <c:v>1.1720962758657822</c:v>
                </c:pt>
                <c:pt idx="24">
                  <c:v>1.1933322097708472</c:v>
                </c:pt>
                <c:pt idx="25">
                  <c:v>1.3456615589529073</c:v>
                </c:pt>
                <c:pt idx="26">
                  <c:v>1.3492606182057434</c:v>
                </c:pt>
                <c:pt idx="27">
                  <c:v>1.1961119878987696</c:v>
                </c:pt>
                <c:pt idx="28">
                  <c:v>1.226233108579055</c:v>
                </c:pt>
                <c:pt idx="29">
                  <c:v>1.2515899585907384</c:v>
                </c:pt>
              </c:numCache>
            </c:numRef>
          </c:yVal>
          <c:smooth val="0"/>
          <c:extLst xmlns:c15="http://schemas.microsoft.com/office/drawing/2012/chart">
            <c:ext xmlns:c16="http://schemas.microsoft.com/office/drawing/2014/chart" uri="{C3380CC4-5D6E-409C-BE32-E72D297353CC}">
              <c16:uniqueId val="{00000003-321B-4FC8-8C1D-EE432BFFAB58}"/>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m!$DU$86:$DX$86</c:f>
              <c:numCache>
                <c:formatCode>General</c:formatCode>
                <c:ptCount val="4"/>
                <c:pt idx="1">
                  <c:v>3.8469075681895233</c:v>
                </c:pt>
              </c:numCache>
              <c:extLst xmlns:c15="http://schemas.microsoft.com/office/drawing/2012/chart"/>
            </c:numRef>
          </c:xVal>
          <c:yVal>
            <c:numRef>
              <c:f>m!$DU$118:$DX$118</c:f>
              <c:numCache>
                <c:formatCode>General</c:formatCode>
                <c:ptCount val="4"/>
                <c:pt idx="1">
                  <c:v>1.4934712613833381</c:v>
                </c:pt>
              </c:numCache>
            </c:numRef>
          </c:yVal>
          <c:smooth val="0"/>
          <c:extLst xmlns:c15="http://schemas.microsoft.com/office/drawing/2012/chart">
            <c:ext xmlns:c16="http://schemas.microsoft.com/office/drawing/2014/chart" uri="{C3380CC4-5D6E-409C-BE32-E72D297353CC}">
              <c16:uniqueId val="{00000004-321B-4FC8-8C1D-EE432BFFAB58}"/>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m!$DY$118:$EL$118</c:f>
              <c:numCache>
                <c:formatCode>General</c:formatCode>
                <c:ptCount val="14"/>
                <c:pt idx="0">
                  <c:v>1.1946263909394317</c:v>
                </c:pt>
                <c:pt idx="1">
                  <c:v>1.282791002213215</c:v>
                </c:pt>
                <c:pt idx="2">
                  <c:v>1.4451289919695254</c:v>
                </c:pt>
                <c:pt idx="3">
                  <c:v>1.4767653123698663</c:v>
                </c:pt>
                <c:pt idx="4">
                  <c:v>1.4922015723807365</c:v>
                </c:pt>
                <c:pt idx="5">
                  <c:v>1.5382774463582296</c:v>
                </c:pt>
                <c:pt idx="6">
                  <c:v>1.4063696903778462</c:v>
                </c:pt>
                <c:pt idx="7">
                  <c:v>1.3608447486451276</c:v>
                </c:pt>
                <c:pt idx="8">
                  <c:v>1.531392646005642</c:v>
                </c:pt>
                <c:pt idx="10">
                  <c:v>1.3430425000372388</c:v>
                </c:pt>
                <c:pt idx="11">
                  <c:v>1.5109229751235815</c:v>
                </c:pt>
                <c:pt idx="13">
                  <c:v>1.4260913860934279</c:v>
                </c:pt>
              </c:numCache>
            </c:numRef>
          </c:yVal>
          <c:smooth val="0"/>
          <c:extLst xmlns:c15="http://schemas.microsoft.com/office/drawing/2012/chart">
            <c:ext xmlns:c16="http://schemas.microsoft.com/office/drawing/2014/chart" uri="{C3380CC4-5D6E-409C-BE32-E72D297353CC}">
              <c16:uniqueId val="{00000005-321B-4FC8-8C1D-EE432BFFAB58}"/>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numRef>
          </c:xVal>
          <c:yVal>
            <c:numRef>
              <c:f>m!$AF$119:$AO$119</c:f>
              <c:numCache>
                <c:formatCode>General</c:formatCode>
                <c:ptCount val="10"/>
                <c:pt idx="6">
                  <c:v>1.1778311010499687</c:v>
                </c:pt>
                <c:pt idx="7">
                  <c:v>1.1204254707600096</c:v>
                </c:pt>
                <c:pt idx="8">
                  <c:v>1.1863752991645538</c:v>
                </c:pt>
                <c:pt idx="9">
                  <c:v>1.1860752782030157</c:v>
                </c:pt>
              </c:numCache>
            </c:numRef>
          </c:yVal>
          <c:smooth val="0"/>
          <c:extLst>
            <c:ext xmlns:c16="http://schemas.microsoft.com/office/drawing/2014/chart" uri="{C3380CC4-5D6E-409C-BE32-E72D297353CC}">
              <c16:uniqueId val="{00000006-321B-4FC8-8C1D-EE432BFFAB58}"/>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f>m!$AP$119:$BL$119</c:f>
              <c:numCache>
                <c:formatCode>General</c:formatCode>
                <c:ptCount val="23"/>
                <c:pt idx="0">
                  <c:v>1.4034431980778217</c:v>
                </c:pt>
                <c:pt idx="1">
                  <c:v>1.2816813065199917</c:v>
                </c:pt>
                <c:pt idx="2">
                  <c:v>1.286391061910745</c:v>
                </c:pt>
                <c:pt idx="3">
                  <c:v>1.206258002146793</c:v>
                </c:pt>
                <c:pt idx="4">
                  <c:v>1.2025047874901735</c:v>
                </c:pt>
                <c:pt idx="6">
                  <c:v>1.1840183060806142</c:v>
                </c:pt>
                <c:pt idx="12">
                  <c:v>1.2211212565127427</c:v>
                </c:pt>
                <c:pt idx="19">
                  <c:v>1.3494287589949381</c:v>
                </c:pt>
                <c:pt idx="20">
                  <c:v>1.2608125072525775</c:v>
                </c:pt>
                <c:pt idx="21">
                  <c:v>1.2873587069348054</c:v>
                </c:pt>
              </c:numCache>
            </c:numRef>
          </c:yVal>
          <c:smooth val="0"/>
          <c:extLst>
            <c:ext xmlns:c16="http://schemas.microsoft.com/office/drawing/2014/chart" uri="{C3380CC4-5D6E-409C-BE32-E72D297353CC}">
              <c16:uniqueId val="{00000007-321B-4FC8-8C1D-EE432BFFAB58}"/>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numRef>
          </c:xVal>
          <c:yVal>
            <c:numRef>
              <c:f>m!$BM$119:$CO$119</c:f>
              <c:numCache>
                <c:formatCode>General</c:formatCode>
                <c:ptCount val="29"/>
                <c:pt idx="0">
                  <c:v>1.3522405806887876</c:v>
                </c:pt>
                <c:pt idx="1">
                  <c:v>1.3904971132406805</c:v>
                </c:pt>
                <c:pt idx="3">
                  <c:v>1.4601216011697475</c:v>
                </c:pt>
                <c:pt idx="4">
                  <c:v>1.5825669959011384</c:v>
                </c:pt>
                <c:pt idx="5">
                  <c:v>1.4412150352160242</c:v>
                </c:pt>
                <c:pt idx="6">
                  <c:v>1.4773890676176524</c:v>
                </c:pt>
                <c:pt idx="7">
                  <c:v>1.4425808777413838</c:v>
                </c:pt>
                <c:pt idx="8">
                  <c:v>1.5020977545688858</c:v>
                </c:pt>
                <c:pt idx="9">
                  <c:v>1.4153171988769362</c:v>
                </c:pt>
                <c:pt idx="10">
                  <c:v>1.3996632734126189</c:v>
                </c:pt>
                <c:pt idx="11">
                  <c:v>1.3872127296236549</c:v>
                </c:pt>
                <c:pt idx="12">
                  <c:v>1.4624068809532114</c:v>
                </c:pt>
                <c:pt idx="13">
                  <c:v>1.4172620333102279</c:v>
                </c:pt>
                <c:pt idx="14">
                  <c:v>1.4397026598697182</c:v>
                </c:pt>
                <c:pt idx="15">
                  <c:v>1.4059594947583229</c:v>
                </c:pt>
                <c:pt idx="16">
                  <c:v>1.493362799866488</c:v>
                </c:pt>
                <c:pt idx="17">
                  <c:v>1.4356676026820039</c:v>
                </c:pt>
                <c:pt idx="18">
                  <c:v>1.4159306747500897</c:v>
                </c:pt>
                <c:pt idx="19">
                  <c:v>1.3436627129073595</c:v>
                </c:pt>
              </c:numCache>
            </c:numRef>
          </c:yVal>
          <c:smooth val="0"/>
          <c:extLst>
            <c:ext xmlns:c16="http://schemas.microsoft.com/office/drawing/2014/chart" uri="{C3380CC4-5D6E-409C-BE32-E72D297353CC}">
              <c16:uniqueId val="{00000008-321B-4FC8-8C1D-EE432BFFAB58}"/>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numRef>
          </c:xVal>
          <c:yVal>
            <c:numRef>
              <c:f>m!$CP$119:$DT$119</c:f>
              <c:numCache>
                <c:formatCode>General</c:formatCode>
                <c:ptCount val="31"/>
                <c:pt idx="0">
                  <c:v>1.4624676068812088</c:v>
                </c:pt>
                <c:pt idx="1">
                  <c:v>1.3158449050773739</c:v>
                </c:pt>
                <c:pt idx="2">
                  <c:v>1.2898183490576371</c:v>
                </c:pt>
                <c:pt idx="3">
                  <c:v>1.2155872409902726</c:v>
                </c:pt>
                <c:pt idx="4">
                  <c:v>1.2717411771793685</c:v>
                </c:pt>
                <c:pt idx="5">
                  <c:v>1.2574130530339505</c:v>
                </c:pt>
                <c:pt idx="6">
                  <c:v>1.3750714194021199</c:v>
                </c:pt>
                <c:pt idx="7">
                  <c:v>1.223529938419829</c:v>
                </c:pt>
                <c:pt idx="8">
                  <c:v>1.409354946080154</c:v>
                </c:pt>
                <c:pt idx="9">
                  <c:v>1.3195841701267326</c:v>
                </c:pt>
                <c:pt idx="10">
                  <c:v>1.3593029058111901</c:v>
                </c:pt>
                <c:pt idx="11">
                  <c:v>1.2858932612595446</c:v>
                </c:pt>
                <c:pt idx="12">
                  <c:v>1.2664541675893268</c:v>
                </c:pt>
                <c:pt idx="14">
                  <c:v>1.3134146237082192</c:v>
                </c:pt>
                <c:pt idx="15">
                  <c:v>1.3466467780260403</c:v>
                </c:pt>
                <c:pt idx="18">
                  <c:v>1.2904599161479313</c:v>
                </c:pt>
                <c:pt idx="19">
                  <c:v>1.2658194697035896</c:v>
                </c:pt>
                <c:pt idx="20">
                  <c:v>1.3338255595899347</c:v>
                </c:pt>
                <c:pt idx="21">
                  <c:v>1.3091375126079101</c:v>
                </c:pt>
                <c:pt idx="22">
                  <c:v>1.2459106167053371</c:v>
                </c:pt>
                <c:pt idx="23">
                  <c:v>1.4404363474167055</c:v>
                </c:pt>
                <c:pt idx="24">
                  <c:v>1.3617449292491017</c:v>
                </c:pt>
                <c:pt idx="25">
                  <c:v>1.3855721429156562</c:v>
                </c:pt>
                <c:pt idx="26">
                  <c:v>1.4120442189166551</c:v>
                </c:pt>
                <c:pt idx="27">
                  <c:v>1.320202413220658</c:v>
                </c:pt>
                <c:pt idx="28">
                  <c:v>1.2536675095259371</c:v>
                </c:pt>
                <c:pt idx="29">
                  <c:v>1.3546447071174652</c:v>
                </c:pt>
              </c:numCache>
            </c:numRef>
          </c:yVal>
          <c:smooth val="0"/>
          <c:extLst>
            <c:ext xmlns:c16="http://schemas.microsoft.com/office/drawing/2014/chart" uri="{C3380CC4-5D6E-409C-BE32-E72D297353CC}">
              <c16:uniqueId val="{00000009-321B-4FC8-8C1D-EE432BFFAB58}"/>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m!$DU$86:$DX$86</c:f>
              <c:numCache>
                <c:formatCode>General</c:formatCode>
                <c:ptCount val="4"/>
                <c:pt idx="1">
                  <c:v>3.8469075681895233</c:v>
                </c:pt>
              </c:numCache>
            </c:numRef>
          </c:xVal>
          <c:yVal>
            <c:numRef>
              <c:f>m!$DU$119:$DX$119</c:f>
              <c:numCache>
                <c:formatCode>General</c:formatCode>
                <c:ptCount val="4"/>
                <c:pt idx="1">
                  <c:v>1.4352855133981532</c:v>
                </c:pt>
              </c:numCache>
            </c:numRef>
          </c:yVal>
          <c:smooth val="0"/>
          <c:extLst>
            <c:ext xmlns:c16="http://schemas.microsoft.com/office/drawing/2014/chart" uri="{C3380CC4-5D6E-409C-BE32-E72D297353CC}">
              <c16:uniqueId val="{0000000A-321B-4FC8-8C1D-EE432BFFAB58}"/>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m!$DY$119:$EL$119</c:f>
              <c:numCache>
                <c:formatCode>General</c:formatCode>
                <c:ptCount val="14"/>
                <c:pt idx="0">
                  <c:v>1.3507042376109819</c:v>
                </c:pt>
                <c:pt idx="1">
                  <c:v>1.467802599610132</c:v>
                </c:pt>
                <c:pt idx="2">
                  <c:v>1.4810196113930421</c:v>
                </c:pt>
                <c:pt idx="3">
                  <c:v>1.5253664912372322</c:v>
                </c:pt>
                <c:pt idx="4">
                  <c:v>1.5112501526744344</c:v>
                </c:pt>
                <c:pt idx="5">
                  <c:v>1.4464244536784299</c:v>
                </c:pt>
                <c:pt idx="6">
                  <c:v>1.5395436565339897</c:v>
                </c:pt>
                <c:pt idx="7">
                  <c:v>1.4471817740768749</c:v>
                </c:pt>
                <c:pt idx="8">
                  <c:v>1.5127155044542606</c:v>
                </c:pt>
                <c:pt idx="10">
                  <c:v>1.4169464248572921</c:v>
                </c:pt>
                <c:pt idx="11">
                  <c:v>1.5301149282684972</c:v>
                </c:pt>
                <c:pt idx="13">
                  <c:v>1.4612513318059788</c:v>
                </c:pt>
              </c:numCache>
            </c:numRef>
          </c:yVal>
          <c:smooth val="0"/>
          <c:extLst>
            <c:ext xmlns:c16="http://schemas.microsoft.com/office/drawing/2014/chart" uri="{C3380CC4-5D6E-409C-BE32-E72D297353CC}">
              <c16:uniqueId val="{0000000B-321B-4FC8-8C1D-EE432BFFAB58}"/>
            </c:ext>
          </c:extLst>
        </c:ser>
        <c:dLbls>
          <c:showLegendKey val="0"/>
          <c:showVal val="0"/>
          <c:showCatName val="0"/>
          <c:showSerName val="0"/>
          <c:showPercent val="0"/>
          <c:showBubbleSize val="0"/>
        </c:dLbls>
        <c:axId val="624399680"/>
        <c:axId val="624400008"/>
        <c:extLst/>
      </c:scatterChart>
      <c:valAx>
        <c:axId val="624399680"/>
        <c:scaling>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Normalized Span Length, L̃ = L/L</a:t>
                </a:r>
                <a:r>
                  <a:rPr lang="en-US" sz="1800" baseline="-25000">
                    <a:effectLst/>
                  </a:rPr>
                  <a:t>st</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Ratio Fatigue-Equivalent / Dynamic Strain Amplitude, ϵ</a:t>
                </a:r>
                <a:r>
                  <a:rPr lang="en-US" sz="1400" b="0" i="0" u="none" strike="noStrike" baseline="-25000">
                    <a:effectLst/>
                  </a:rPr>
                  <a:t>e</a:t>
                </a:r>
                <a:r>
                  <a:rPr lang="en-US" sz="1400" b="0" i="0" u="none" strike="noStrike" baseline="0">
                    <a:effectLst/>
                  </a:rPr>
                  <a:t>/ϵ</a:t>
                </a:r>
                <a:endParaRPr lang="en-US" sz="1400">
                  <a:effectLst/>
                </a:endParaRPr>
              </a:p>
            </c:rich>
          </c:tx>
          <c:layout>
            <c:manualLayout>
              <c:xMode val="edge"/>
              <c:yMode val="edge"/>
              <c:x val="1.2786980528916013E-2"/>
              <c:y val="5.1139526362623478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m!$AF$88:$AO$88</c:f>
              <c:numCache>
                <c:formatCode>General</c:formatCode>
                <c:ptCount val="10"/>
                <c:pt idx="6">
                  <c:v>1.2077756213486157</c:v>
                </c:pt>
                <c:pt idx="7">
                  <c:v>1.1056289978340066</c:v>
                </c:pt>
                <c:pt idx="8">
                  <c:v>1.0251873368791706</c:v>
                </c:pt>
                <c:pt idx="9">
                  <c:v>0.95931262586627597</c:v>
                </c:pt>
              </c:numCache>
            </c:numRef>
          </c:xVal>
          <c:yVal>
            <c:numRef>
              <c:f>m!$AF$118:$AO$118</c:f>
              <c:numCache>
                <c:formatCode>General</c:formatCode>
                <c:ptCount val="10"/>
                <c:pt idx="6">
                  <c:v>1.1546151646085583</c:v>
                </c:pt>
                <c:pt idx="7">
                  <c:v>1.1552428220694375</c:v>
                </c:pt>
                <c:pt idx="8">
                  <c:v>1.1352067176190823</c:v>
                </c:pt>
                <c:pt idx="9">
                  <c:v>1.0810755260267768</c:v>
                </c:pt>
              </c:numCache>
            </c:numRef>
          </c:yVal>
          <c:smooth val="0"/>
          <c:extLst>
            <c:ext xmlns:c16="http://schemas.microsoft.com/office/drawing/2014/chart" uri="{C3380CC4-5D6E-409C-BE32-E72D297353CC}">
              <c16:uniqueId val="{00000000-067C-4C6E-B846-45C640C86745}"/>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m!$AP$88:$BL$88</c:f>
              <c:numCache>
                <c:formatCode>General</c:formatCode>
                <c:ptCount val="23"/>
                <c:pt idx="0">
                  <c:v>24.391892556467965</c:v>
                </c:pt>
                <c:pt idx="1">
                  <c:v>12.39314191041627</c:v>
                </c:pt>
                <c:pt idx="2">
                  <c:v>6.0526881112960602</c:v>
                </c:pt>
                <c:pt idx="3">
                  <c:v>3.7666895969175127</c:v>
                </c:pt>
                <c:pt idx="4">
                  <c:v>2.6785350127838461</c:v>
                </c:pt>
                <c:pt idx="6">
                  <c:v>1.8850320220016954</c:v>
                </c:pt>
                <c:pt idx="12">
                  <c:v>1.1515535876000997</c:v>
                </c:pt>
                <c:pt idx="19">
                  <c:v>16.152806707052129</c:v>
                </c:pt>
                <c:pt idx="20">
                  <c:v>8.0284894017907167</c:v>
                </c:pt>
                <c:pt idx="21">
                  <c:v>11.824562591088151</c:v>
                </c:pt>
              </c:numCache>
            </c:numRef>
          </c:xVal>
          <c:yVal>
            <c:numRef>
              <c:f>m!$AP$118:$BL$118</c:f>
              <c:numCache>
                <c:formatCode>General</c:formatCode>
                <c:ptCount val="23"/>
                <c:pt idx="0">
                  <c:v>1.243984539182355</c:v>
                </c:pt>
                <c:pt idx="1">
                  <c:v>1.1468301748660079</c:v>
                </c:pt>
                <c:pt idx="2">
                  <c:v>1.0633687880767526</c:v>
                </c:pt>
                <c:pt idx="3">
                  <c:v>1.1076945911657357</c:v>
                </c:pt>
                <c:pt idx="4">
                  <c:v>1.0623799420260445</c:v>
                </c:pt>
                <c:pt idx="6">
                  <c:v>0.92901331031001122</c:v>
                </c:pt>
                <c:pt idx="12">
                  <c:v>1.0035582421579063</c:v>
                </c:pt>
                <c:pt idx="19">
                  <c:v>1.2914051893201628</c:v>
                </c:pt>
                <c:pt idx="20">
                  <c:v>0.97730657043625957</c:v>
                </c:pt>
                <c:pt idx="21">
                  <c:v>1.1724663134287669</c:v>
                </c:pt>
              </c:numCache>
            </c:numRef>
          </c:yVal>
          <c:smooth val="0"/>
          <c:extLst>
            <c:ext xmlns:c16="http://schemas.microsoft.com/office/drawing/2014/chart" uri="{C3380CC4-5D6E-409C-BE32-E72D297353CC}">
              <c16:uniqueId val="{00000001-067C-4C6E-B846-45C640C86745}"/>
            </c:ext>
          </c:extLst>
        </c:ser>
        <c:ser>
          <c:idx val="11"/>
          <c:order val="2"/>
          <c:tx>
            <c:v>CF, Pipe 1</c:v>
          </c:tx>
          <c:spPr>
            <a:ln w="25400" cap="rnd">
              <a:noFill/>
              <a:round/>
            </a:ln>
            <a:effectLst/>
          </c:spPr>
          <c:marker>
            <c:symbol val="x"/>
            <c:size val="7"/>
            <c:spPr>
              <a:noFill/>
              <a:ln w="15875">
                <a:solidFill>
                  <a:schemeClr val="accent6"/>
                </a:solidFill>
              </a:ln>
              <a:effectLst/>
            </c:spPr>
          </c:marker>
          <c:xVal>
            <c:numRef>
              <c:f>m!$BM$88:$CO$88</c:f>
              <c:numCache>
                <c:formatCode>General</c:formatCode>
                <c:ptCount val="29"/>
                <c:pt idx="0">
                  <c:v>9.058449261180316</c:v>
                </c:pt>
                <c:pt idx="1">
                  <c:v>7.8664433508505711</c:v>
                </c:pt>
                <c:pt idx="3">
                  <c:v>30.065626016914369</c:v>
                </c:pt>
                <c:pt idx="4">
                  <c:v>22.639463651886633</c:v>
                </c:pt>
                <c:pt idx="5">
                  <c:v>16.656638164149282</c:v>
                </c:pt>
                <c:pt idx="6">
                  <c:v>15.021212136386572</c:v>
                </c:pt>
                <c:pt idx="7">
                  <c:v>13.951169656448213</c:v>
                </c:pt>
                <c:pt idx="8">
                  <c:v>13.01388949792244</c:v>
                </c:pt>
                <c:pt idx="9">
                  <c:v>11.766366373383427</c:v>
                </c:pt>
                <c:pt idx="10">
                  <c:v>11.269336129968526</c:v>
                </c:pt>
                <c:pt idx="11">
                  <c:v>11.170898139527413</c:v>
                </c:pt>
                <c:pt idx="12">
                  <c:v>11.960799378255555</c:v>
                </c:pt>
                <c:pt idx="13">
                  <c:v>27.162889586886486</c:v>
                </c:pt>
                <c:pt idx="14">
                  <c:v>12.912503702619032</c:v>
                </c:pt>
                <c:pt idx="15">
                  <c:v>12.021652336608035</c:v>
                </c:pt>
                <c:pt idx="16">
                  <c:v>11.232099961635724</c:v>
                </c:pt>
                <c:pt idx="17">
                  <c:v>11.693849947411628</c:v>
                </c:pt>
                <c:pt idx="18">
                  <c:v>11.223698400411086</c:v>
                </c:pt>
                <c:pt idx="19">
                  <c:v>10.86580831318318</c:v>
                </c:pt>
              </c:numCache>
            </c:numRef>
          </c:xVal>
          <c:yVal>
            <c:numRef>
              <c:f>m!$BM$118:$CO$118</c:f>
              <c:numCache>
                <c:formatCode>General</c:formatCode>
                <c:ptCount val="29"/>
                <c:pt idx="0">
                  <c:v>1.3427320498774216</c:v>
                </c:pt>
                <c:pt idx="1">
                  <c:v>1.3244839482248416</c:v>
                </c:pt>
                <c:pt idx="3">
                  <c:v>1.5360114145124946</c:v>
                </c:pt>
                <c:pt idx="4">
                  <c:v>1.5350900536251595</c:v>
                </c:pt>
                <c:pt idx="5">
                  <c:v>1.4049896122304495</c:v>
                </c:pt>
                <c:pt idx="6">
                  <c:v>1.4196887949922639</c:v>
                </c:pt>
                <c:pt idx="7">
                  <c:v>1.4361363107323364</c:v>
                </c:pt>
                <c:pt idx="8">
                  <c:v>1.4206928322613162</c:v>
                </c:pt>
                <c:pt idx="9">
                  <c:v>1.3598122128337322</c:v>
                </c:pt>
                <c:pt idx="10">
                  <c:v>1.3180146381717237</c:v>
                </c:pt>
                <c:pt idx="11">
                  <c:v>1.3388112539933303</c:v>
                </c:pt>
                <c:pt idx="12">
                  <c:v>1.3552202758936438</c:v>
                </c:pt>
                <c:pt idx="13">
                  <c:v>1.4749788785851994</c:v>
                </c:pt>
                <c:pt idx="14">
                  <c:v>1.3660678419398677</c:v>
                </c:pt>
                <c:pt idx="15">
                  <c:v>1.3614336236338755</c:v>
                </c:pt>
                <c:pt idx="16">
                  <c:v>1.3754433781955395</c:v>
                </c:pt>
                <c:pt idx="17">
                  <c:v>1.3395445103687245</c:v>
                </c:pt>
                <c:pt idx="18">
                  <c:v>1.3364278729737564</c:v>
                </c:pt>
                <c:pt idx="19">
                  <c:v>1.3194314314206148</c:v>
                </c:pt>
              </c:numCache>
            </c:numRef>
          </c:yVal>
          <c:smooth val="0"/>
          <c:extLst>
            <c:ext xmlns:c16="http://schemas.microsoft.com/office/drawing/2014/chart" uri="{C3380CC4-5D6E-409C-BE32-E72D297353CC}">
              <c16:uniqueId val="{00000002-067C-4C6E-B846-45C640C86745}"/>
            </c:ext>
          </c:extLst>
        </c:ser>
        <c:ser>
          <c:idx val="13"/>
          <c:order val="3"/>
          <c:tx>
            <c:v>CF, Pipe 2</c:v>
          </c:tx>
          <c:spPr>
            <a:ln w="25400" cap="rnd">
              <a:noFill/>
              <a:round/>
            </a:ln>
            <a:effectLst/>
          </c:spPr>
          <c:marker>
            <c:symbol val="x"/>
            <c:size val="7"/>
            <c:spPr>
              <a:noFill/>
              <a:ln w="15875">
                <a:solidFill>
                  <a:srgbClr val="00B0F0"/>
                </a:solidFill>
              </a:ln>
              <a:effectLst/>
            </c:spPr>
          </c:marker>
          <c:xVal>
            <c:numRef>
              <c:f>m!$CP$88:$DT$88</c:f>
              <c:numCache>
                <c:formatCode>General</c:formatCode>
                <c:ptCount val="31"/>
                <c:pt idx="0">
                  <c:v>14.967634874281726</c:v>
                </c:pt>
                <c:pt idx="1">
                  <c:v>10.859495391314089</c:v>
                </c:pt>
                <c:pt idx="2">
                  <c:v>8.4563881945228196</c:v>
                </c:pt>
                <c:pt idx="3">
                  <c:v>8.0451490313237208</c:v>
                </c:pt>
                <c:pt idx="4">
                  <c:v>7.3666796900735303</c:v>
                </c:pt>
                <c:pt idx="5">
                  <c:v>6.5196411657785642</c:v>
                </c:pt>
                <c:pt idx="6">
                  <c:v>6.3301131825501749</c:v>
                </c:pt>
                <c:pt idx="7">
                  <c:v>6.8827228840656973</c:v>
                </c:pt>
                <c:pt idx="8">
                  <c:v>7.0094627058965058</c:v>
                </c:pt>
                <c:pt idx="9">
                  <c:v>6.3298791757150115</c:v>
                </c:pt>
                <c:pt idx="10">
                  <c:v>6.6780438219414266</c:v>
                </c:pt>
                <c:pt idx="11">
                  <c:v>6.5385293353880218</c:v>
                </c:pt>
                <c:pt idx="12">
                  <c:v>6.9941799281985251</c:v>
                </c:pt>
                <c:pt idx="14">
                  <c:v>6.8232928038368632</c:v>
                </c:pt>
                <c:pt idx="15">
                  <c:v>18.904292224553938</c:v>
                </c:pt>
                <c:pt idx="18">
                  <c:v>4.9032420224881452</c:v>
                </c:pt>
                <c:pt idx="19">
                  <c:v>5.154905288650987</c:v>
                </c:pt>
                <c:pt idx="20">
                  <c:v>5.408353073811563</c:v>
                </c:pt>
                <c:pt idx="21">
                  <c:v>5.6648585615667919</c:v>
                </c:pt>
                <c:pt idx="22">
                  <c:v>6.0623627952754546</c:v>
                </c:pt>
                <c:pt idx="23">
                  <c:v>57.260760259312697</c:v>
                </c:pt>
                <c:pt idx="24">
                  <c:v>26.427104906202789</c:v>
                </c:pt>
                <c:pt idx="25">
                  <c:v>40.004296051188781</c:v>
                </c:pt>
                <c:pt idx="26">
                  <c:v>19.130558061300469</c:v>
                </c:pt>
                <c:pt idx="27">
                  <c:v>29.934930652950253</c:v>
                </c:pt>
                <c:pt idx="28">
                  <c:v>2.6231064436735849</c:v>
                </c:pt>
                <c:pt idx="29">
                  <c:v>3.0770338188674491</c:v>
                </c:pt>
              </c:numCache>
            </c:numRef>
          </c:xVal>
          <c:yVal>
            <c:numRef>
              <c:f>m!$CP$118:$DT$118</c:f>
              <c:numCache>
                <c:formatCode>General</c:formatCode>
                <c:ptCount val="31"/>
                <c:pt idx="0">
                  <c:v>1.3341240530996217</c:v>
                </c:pt>
                <c:pt idx="1">
                  <c:v>1.1445063250748919</c:v>
                </c:pt>
                <c:pt idx="2">
                  <c:v>1.3025298134152854</c:v>
                </c:pt>
                <c:pt idx="3">
                  <c:v>1.1532765748555214</c:v>
                </c:pt>
                <c:pt idx="4">
                  <c:v>1.2041775798699572</c:v>
                </c:pt>
                <c:pt idx="5">
                  <c:v>1.3883124368513799</c:v>
                </c:pt>
                <c:pt idx="6">
                  <c:v>1.2254832469747683</c:v>
                </c:pt>
                <c:pt idx="7">
                  <c:v>1.1306280488092419</c:v>
                </c:pt>
                <c:pt idx="8">
                  <c:v>1.3018002154531623</c:v>
                </c:pt>
                <c:pt idx="9">
                  <c:v>1.2812076382884359</c:v>
                </c:pt>
                <c:pt idx="10">
                  <c:v>1.2450303476087923</c:v>
                </c:pt>
                <c:pt idx="11">
                  <c:v>1.2830289476645029</c:v>
                </c:pt>
                <c:pt idx="12">
                  <c:v>1.3590628007906977</c:v>
                </c:pt>
                <c:pt idx="14">
                  <c:v>1.2746171008049065</c:v>
                </c:pt>
                <c:pt idx="15">
                  <c:v>1.2663933253955457</c:v>
                </c:pt>
                <c:pt idx="18">
                  <c:v>1.3064881103018782</c:v>
                </c:pt>
                <c:pt idx="19">
                  <c:v>1.3619729597638883</c:v>
                </c:pt>
                <c:pt idx="20">
                  <c:v>1.3226545610917324</c:v>
                </c:pt>
                <c:pt idx="21">
                  <c:v>1.2852333602140309</c:v>
                </c:pt>
                <c:pt idx="22">
                  <c:v>1.2638235973826846</c:v>
                </c:pt>
                <c:pt idx="23">
                  <c:v>1.1720962758657822</c:v>
                </c:pt>
                <c:pt idx="24">
                  <c:v>1.1933322097708472</c:v>
                </c:pt>
                <c:pt idx="25">
                  <c:v>1.3456615589529073</c:v>
                </c:pt>
                <c:pt idx="26">
                  <c:v>1.3492606182057434</c:v>
                </c:pt>
                <c:pt idx="27">
                  <c:v>1.1961119878987696</c:v>
                </c:pt>
                <c:pt idx="28">
                  <c:v>1.226233108579055</c:v>
                </c:pt>
                <c:pt idx="29">
                  <c:v>1.2515899585907384</c:v>
                </c:pt>
              </c:numCache>
            </c:numRef>
          </c:yVal>
          <c:smooth val="0"/>
          <c:extLst>
            <c:ext xmlns:c16="http://schemas.microsoft.com/office/drawing/2014/chart" uri="{C3380CC4-5D6E-409C-BE32-E72D297353CC}">
              <c16:uniqueId val="{00000003-067C-4C6E-B846-45C640C86745}"/>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m!$DU$88:$DX$88</c:f>
              <c:numCache>
                <c:formatCode>General</c:formatCode>
                <c:ptCount val="4"/>
                <c:pt idx="1">
                  <c:v>112.5027611445126</c:v>
                </c:pt>
              </c:numCache>
            </c:numRef>
          </c:xVal>
          <c:yVal>
            <c:numRef>
              <c:f>m!$DU$118:$DX$118</c:f>
              <c:numCache>
                <c:formatCode>General</c:formatCode>
                <c:ptCount val="4"/>
                <c:pt idx="1">
                  <c:v>1.4934712613833381</c:v>
                </c:pt>
              </c:numCache>
            </c:numRef>
          </c:yVal>
          <c:smooth val="0"/>
          <c:extLst>
            <c:ext xmlns:c16="http://schemas.microsoft.com/office/drawing/2014/chart" uri="{C3380CC4-5D6E-409C-BE32-E72D297353CC}">
              <c16:uniqueId val="{00000004-067C-4C6E-B846-45C640C86745}"/>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m!$DY$88:$EL$88</c:f>
              <c:numCache>
                <c:formatCode>General</c:formatCode>
                <c:ptCount val="14"/>
                <c:pt idx="0">
                  <c:v>387.12046526060993</c:v>
                </c:pt>
                <c:pt idx="1">
                  <c:v>109.01295409328802</c:v>
                </c:pt>
                <c:pt idx="2">
                  <c:v>80.044164274946709</c:v>
                </c:pt>
                <c:pt idx="3">
                  <c:v>69.315374934098855</c:v>
                </c:pt>
                <c:pt idx="4">
                  <c:v>56.845340825747876</c:v>
                </c:pt>
                <c:pt idx="5">
                  <c:v>52.110362557298266</c:v>
                </c:pt>
                <c:pt idx="6">
                  <c:v>51.347614683737454</c:v>
                </c:pt>
                <c:pt idx="7">
                  <c:v>43.636818151904194</c:v>
                </c:pt>
                <c:pt idx="8">
                  <c:v>29.734510695495572</c:v>
                </c:pt>
                <c:pt idx="10">
                  <c:v>28.325629332891609</c:v>
                </c:pt>
                <c:pt idx="11">
                  <c:v>32.438035866153264</c:v>
                </c:pt>
                <c:pt idx="13">
                  <c:v>25.30851824555894</c:v>
                </c:pt>
              </c:numCache>
            </c:numRef>
          </c:xVal>
          <c:yVal>
            <c:numRef>
              <c:f>m!$DY$118:$EL$118</c:f>
              <c:numCache>
                <c:formatCode>General</c:formatCode>
                <c:ptCount val="14"/>
                <c:pt idx="0">
                  <c:v>1.1946263909394317</c:v>
                </c:pt>
                <c:pt idx="1">
                  <c:v>1.282791002213215</c:v>
                </c:pt>
                <c:pt idx="2">
                  <c:v>1.4451289919695254</c:v>
                </c:pt>
                <c:pt idx="3">
                  <c:v>1.4767653123698663</c:v>
                </c:pt>
                <c:pt idx="4">
                  <c:v>1.4922015723807365</c:v>
                </c:pt>
                <c:pt idx="5">
                  <c:v>1.5382774463582296</c:v>
                </c:pt>
                <c:pt idx="6">
                  <c:v>1.4063696903778462</c:v>
                </c:pt>
                <c:pt idx="7">
                  <c:v>1.3608447486451276</c:v>
                </c:pt>
                <c:pt idx="8">
                  <c:v>1.531392646005642</c:v>
                </c:pt>
                <c:pt idx="10">
                  <c:v>1.3430425000372388</c:v>
                </c:pt>
                <c:pt idx="11">
                  <c:v>1.5109229751235815</c:v>
                </c:pt>
                <c:pt idx="13">
                  <c:v>1.4260913860934279</c:v>
                </c:pt>
              </c:numCache>
            </c:numRef>
          </c:yVal>
          <c:smooth val="0"/>
          <c:extLst>
            <c:ext xmlns:c16="http://schemas.microsoft.com/office/drawing/2014/chart" uri="{C3380CC4-5D6E-409C-BE32-E72D297353CC}">
              <c16:uniqueId val="{00000005-067C-4C6E-B846-45C640C86745}"/>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m!$AF$88:$AO$88</c:f>
              <c:numCache>
                <c:formatCode>General</c:formatCode>
                <c:ptCount val="10"/>
                <c:pt idx="6">
                  <c:v>1.2077756213486157</c:v>
                </c:pt>
                <c:pt idx="7">
                  <c:v>1.1056289978340066</c:v>
                </c:pt>
                <c:pt idx="8">
                  <c:v>1.0251873368791706</c:v>
                </c:pt>
                <c:pt idx="9">
                  <c:v>0.95931262586627597</c:v>
                </c:pt>
              </c:numCache>
            </c:numRef>
          </c:xVal>
          <c:yVal>
            <c:numRef>
              <c:f>m!$AF$119:$AO$119</c:f>
              <c:numCache>
                <c:formatCode>General</c:formatCode>
                <c:ptCount val="10"/>
                <c:pt idx="6">
                  <c:v>1.1778311010499687</c:v>
                </c:pt>
                <c:pt idx="7">
                  <c:v>1.1204254707600096</c:v>
                </c:pt>
                <c:pt idx="8">
                  <c:v>1.1863752991645538</c:v>
                </c:pt>
                <c:pt idx="9">
                  <c:v>1.1860752782030157</c:v>
                </c:pt>
              </c:numCache>
            </c:numRef>
          </c:yVal>
          <c:smooth val="0"/>
          <c:extLst>
            <c:ext xmlns:c16="http://schemas.microsoft.com/office/drawing/2014/chart" uri="{C3380CC4-5D6E-409C-BE32-E72D297353CC}">
              <c16:uniqueId val="{00000006-067C-4C6E-B846-45C640C86745}"/>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m!$AP$88:$BL$88</c:f>
              <c:numCache>
                <c:formatCode>General</c:formatCode>
                <c:ptCount val="23"/>
                <c:pt idx="0">
                  <c:v>24.391892556467965</c:v>
                </c:pt>
                <c:pt idx="1">
                  <c:v>12.39314191041627</c:v>
                </c:pt>
                <c:pt idx="2">
                  <c:v>6.0526881112960602</c:v>
                </c:pt>
                <c:pt idx="3">
                  <c:v>3.7666895969175127</c:v>
                </c:pt>
                <c:pt idx="4">
                  <c:v>2.6785350127838461</c:v>
                </c:pt>
                <c:pt idx="6">
                  <c:v>1.8850320220016954</c:v>
                </c:pt>
                <c:pt idx="12">
                  <c:v>1.1515535876000997</c:v>
                </c:pt>
                <c:pt idx="19">
                  <c:v>16.152806707052129</c:v>
                </c:pt>
                <c:pt idx="20">
                  <c:v>8.0284894017907167</c:v>
                </c:pt>
                <c:pt idx="21">
                  <c:v>11.824562591088151</c:v>
                </c:pt>
              </c:numCache>
            </c:numRef>
          </c:xVal>
          <c:yVal>
            <c:numRef>
              <c:f>m!$AP$119:$BL$119</c:f>
              <c:numCache>
                <c:formatCode>General</c:formatCode>
                <c:ptCount val="23"/>
                <c:pt idx="0">
                  <c:v>1.4034431980778217</c:v>
                </c:pt>
                <c:pt idx="1">
                  <c:v>1.2816813065199917</c:v>
                </c:pt>
                <c:pt idx="2">
                  <c:v>1.286391061910745</c:v>
                </c:pt>
                <c:pt idx="3">
                  <c:v>1.206258002146793</c:v>
                </c:pt>
                <c:pt idx="4">
                  <c:v>1.2025047874901735</c:v>
                </c:pt>
                <c:pt idx="6">
                  <c:v>1.1840183060806142</c:v>
                </c:pt>
                <c:pt idx="12">
                  <c:v>1.2211212565127427</c:v>
                </c:pt>
                <c:pt idx="19">
                  <c:v>1.3494287589949381</c:v>
                </c:pt>
                <c:pt idx="20">
                  <c:v>1.2608125072525775</c:v>
                </c:pt>
                <c:pt idx="21">
                  <c:v>1.2873587069348054</c:v>
                </c:pt>
              </c:numCache>
            </c:numRef>
          </c:yVal>
          <c:smooth val="0"/>
          <c:extLst>
            <c:ext xmlns:c16="http://schemas.microsoft.com/office/drawing/2014/chart" uri="{C3380CC4-5D6E-409C-BE32-E72D297353CC}">
              <c16:uniqueId val="{00000007-067C-4C6E-B846-45C640C86745}"/>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m!$BM$88:$CO$88</c:f>
              <c:numCache>
                <c:formatCode>General</c:formatCode>
                <c:ptCount val="29"/>
                <c:pt idx="0">
                  <c:v>9.058449261180316</c:v>
                </c:pt>
                <c:pt idx="1">
                  <c:v>7.8664433508505711</c:v>
                </c:pt>
                <c:pt idx="3">
                  <c:v>30.065626016914369</c:v>
                </c:pt>
                <c:pt idx="4">
                  <c:v>22.639463651886633</c:v>
                </c:pt>
                <c:pt idx="5">
                  <c:v>16.656638164149282</c:v>
                </c:pt>
                <c:pt idx="6">
                  <c:v>15.021212136386572</c:v>
                </c:pt>
                <c:pt idx="7">
                  <c:v>13.951169656448213</c:v>
                </c:pt>
                <c:pt idx="8">
                  <c:v>13.01388949792244</c:v>
                </c:pt>
                <c:pt idx="9">
                  <c:v>11.766366373383427</c:v>
                </c:pt>
                <c:pt idx="10">
                  <c:v>11.269336129968526</c:v>
                </c:pt>
                <c:pt idx="11">
                  <c:v>11.170898139527413</c:v>
                </c:pt>
                <c:pt idx="12">
                  <c:v>11.960799378255555</c:v>
                </c:pt>
                <c:pt idx="13">
                  <c:v>27.162889586886486</c:v>
                </c:pt>
                <c:pt idx="14">
                  <c:v>12.912503702619032</c:v>
                </c:pt>
                <c:pt idx="15">
                  <c:v>12.021652336608035</c:v>
                </c:pt>
                <c:pt idx="16">
                  <c:v>11.232099961635724</c:v>
                </c:pt>
                <c:pt idx="17">
                  <c:v>11.693849947411628</c:v>
                </c:pt>
                <c:pt idx="18">
                  <c:v>11.223698400411086</c:v>
                </c:pt>
                <c:pt idx="19">
                  <c:v>10.86580831318318</c:v>
                </c:pt>
              </c:numCache>
            </c:numRef>
          </c:xVal>
          <c:yVal>
            <c:numRef>
              <c:f>m!$BM$119:$CO$119</c:f>
              <c:numCache>
                <c:formatCode>General</c:formatCode>
                <c:ptCount val="29"/>
                <c:pt idx="0">
                  <c:v>1.3522405806887876</c:v>
                </c:pt>
                <c:pt idx="1">
                  <c:v>1.3904971132406805</c:v>
                </c:pt>
                <c:pt idx="3">
                  <c:v>1.4601216011697475</c:v>
                </c:pt>
                <c:pt idx="4">
                  <c:v>1.5825669959011384</c:v>
                </c:pt>
                <c:pt idx="5">
                  <c:v>1.4412150352160242</c:v>
                </c:pt>
                <c:pt idx="6">
                  <c:v>1.4773890676176524</c:v>
                </c:pt>
                <c:pt idx="7">
                  <c:v>1.4425808777413838</c:v>
                </c:pt>
                <c:pt idx="8">
                  <c:v>1.5020977545688858</c:v>
                </c:pt>
                <c:pt idx="9">
                  <c:v>1.4153171988769362</c:v>
                </c:pt>
                <c:pt idx="10">
                  <c:v>1.3996632734126189</c:v>
                </c:pt>
                <c:pt idx="11">
                  <c:v>1.3872127296236549</c:v>
                </c:pt>
                <c:pt idx="12">
                  <c:v>1.4624068809532114</c:v>
                </c:pt>
                <c:pt idx="13">
                  <c:v>1.4172620333102279</c:v>
                </c:pt>
                <c:pt idx="14">
                  <c:v>1.4397026598697182</c:v>
                </c:pt>
                <c:pt idx="15">
                  <c:v>1.4059594947583229</c:v>
                </c:pt>
                <c:pt idx="16">
                  <c:v>1.493362799866488</c:v>
                </c:pt>
                <c:pt idx="17">
                  <c:v>1.4356676026820039</c:v>
                </c:pt>
                <c:pt idx="18">
                  <c:v>1.4159306747500897</c:v>
                </c:pt>
                <c:pt idx="19">
                  <c:v>1.3436627129073595</c:v>
                </c:pt>
              </c:numCache>
            </c:numRef>
          </c:yVal>
          <c:smooth val="0"/>
          <c:extLst>
            <c:ext xmlns:c16="http://schemas.microsoft.com/office/drawing/2014/chart" uri="{C3380CC4-5D6E-409C-BE32-E72D297353CC}">
              <c16:uniqueId val="{00000008-067C-4C6E-B846-45C640C86745}"/>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m!$CP$88:$DT$88</c:f>
              <c:numCache>
                <c:formatCode>General</c:formatCode>
                <c:ptCount val="31"/>
                <c:pt idx="0">
                  <c:v>14.967634874281726</c:v>
                </c:pt>
                <c:pt idx="1">
                  <c:v>10.859495391314089</c:v>
                </c:pt>
                <c:pt idx="2">
                  <c:v>8.4563881945228196</c:v>
                </c:pt>
                <c:pt idx="3">
                  <c:v>8.0451490313237208</c:v>
                </c:pt>
                <c:pt idx="4">
                  <c:v>7.3666796900735303</c:v>
                </c:pt>
                <c:pt idx="5">
                  <c:v>6.5196411657785642</c:v>
                </c:pt>
                <c:pt idx="6">
                  <c:v>6.3301131825501749</c:v>
                </c:pt>
                <c:pt idx="7">
                  <c:v>6.8827228840656973</c:v>
                </c:pt>
                <c:pt idx="8">
                  <c:v>7.0094627058965058</c:v>
                </c:pt>
                <c:pt idx="9">
                  <c:v>6.3298791757150115</c:v>
                </c:pt>
                <c:pt idx="10">
                  <c:v>6.6780438219414266</c:v>
                </c:pt>
                <c:pt idx="11">
                  <c:v>6.5385293353880218</c:v>
                </c:pt>
                <c:pt idx="12">
                  <c:v>6.9941799281985251</c:v>
                </c:pt>
                <c:pt idx="14">
                  <c:v>6.8232928038368632</c:v>
                </c:pt>
                <c:pt idx="15">
                  <c:v>18.904292224553938</c:v>
                </c:pt>
                <c:pt idx="18">
                  <c:v>4.9032420224881452</c:v>
                </c:pt>
                <c:pt idx="19">
                  <c:v>5.154905288650987</c:v>
                </c:pt>
                <c:pt idx="20">
                  <c:v>5.408353073811563</c:v>
                </c:pt>
                <c:pt idx="21">
                  <c:v>5.6648585615667919</c:v>
                </c:pt>
                <c:pt idx="22">
                  <c:v>6.0623627952754546</c:v>
                </c:pt>
                <c:pt idx="23">
                  <c:v>57.260760259312697</c:v>
                </c:pt>
                <c:pt idx="24">
                  <c:v>26.427104906202789</c:v>
                </c:pt>
                <c:pt idx="25">
                  <c:v>40.004296051188781</c:v>
                </c:pt>
                <c:pt idx="26">
                  <c:v>19.130558061300469</c:v>
                </c:pt>
                <c:pt idx="27">
                  <c:v>29.934930652950253</c:v>
                </c:pt>
                <c:pt idx="28">
                  <c:v>2.6231064436735849</c:v>
                </c:pt>
                <c:pt idx="29">
                  <c:v>3.0770338188674491</c:v>
                </c:pt>
              </c:numCache>
            </c:numRef>
          </c:xVal>
          <c:yVal>
            <c:numRef>
              <c:f>m!$CP$119:$DT$119</c:f>
              <c:numCache>
                <c:formatCode>General</c:formatCode>
                <c:ptCount val="31"/>
                <c:pt idx="0">
                  <c:v>1.4624676068812088</c:v>
                </c:pt>
                <c:pt idx="1">
                  <c:v>1.3158449050773739</c:v>
                </c:pt>
                <c:pt idx="2">
                  <c:v>1.2898183490576371</c:v>
                </c:pt>
                <c:pt idx="3">
                  <c:v>1.2155872409902726</c:v>
                </c:pt>
                <c:pt idx="4">
                  <c:v>1.2717411771793685</c:v>
                </c:pt>
                <c:pt idx="5">
                  <c:v>1.2574130530339505</c:v>
                </c:pt>
                <c:pt idx="6">
                  <c:v>1.3750714194021199</c:v>
                </c:pt>
                <c:pt idx="7">
                  <c:v>1.223529938419829</c:v>
                </c:pt>
                <c:pt idx="8">
                  <c:v>1.409354946080154</c:v>
                </c:pt>
                <c:pt idx="9">
                  <c:v>1.3195841701267326</c:v>
                </c:pt>
                <c:pt idx="10">
                  <c:v>1.3593029058111901</c:v>
                </c:pt>
                <c:pt idx="11">
                  <c:v>1.2858932612595446</c:v>
                </c:pt>
                <c:pt idx="12">
                  <c:v>1.2664541675893268</c:v>
                </c:pt>
                <c:pt idx="14">
                  <c:v>1.3134146237082192</c:v>
                </c:pt>
                <c:pt idx="15">
                  <c:v>1.3466467780260403</c:v>
                </c:pt>
                <c:pt idx="18">
                  <c:v>1.2904599161479313</c:v>
                </c:pt>
                <c:pt idx="19">
                  <c:v>1.2658194697035896</c:v>
                </c:pt>
                <c:pt idx="20">
                  <c:v>1.3338255595899347</c:v>
                </c:pt>
                <c:pt idx="21">
                  <c:v>1.3091375126079101</c:v>
                </c:pt>
                <c:pt idx="22">
                  <c:v>1.2459106167053371</c:v>
                </c:pt>
                <c:pt idx="23">
                  <c:v>1.4404363474167055</c:v>
                </c:pt>
                <c:pt idx="24">
                  <c:v>1.3617449292491017</c:v>
                </c:pt>
                <c:pt idx="25">
                  <c:v>1.3855721429156562</c:v>
                </c:pt>
                <c:pt idx="26">
                  <c:v>1.4120442189166551</c:v>
                </c:pt>
                <c:pt idx="27">
                  <c:v>1.320202413220658</c:v>
                </c:pt>
                <c:pt idx="28">
                  <c:v>1.2536675095259371</c:v>
                </c:pt>
                <c:pt idx="29">
                  <c:v>1.3546447071174652</c:v>
                </c:pt>
              </c:numCache>
            </c:numRef>
          </c:yVal>
          <c:smooth val="0"/>
          <c:extLst>
            <c:ext xmlns:c16="http://schemas.microsoft.com/office/drawing/2014/chart" uri="{C3380CC4-5D6E-409C-BE32-E72D297353CC}">
              <c16:uniqueId val="{00000009-067C-4C6E-B846-45C640C86745}"/>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m!$DU$88:$DX$88</c:f>
              <c:numCache>
                <c:formatCode>General</c:formatCode>
                <c:ptCount val="4"/>
                <c:pt idx="1">
                  <c:v>112.5027611445126</c:v>
                </c:pt>
              </c:numCache>
            </c:numRef>
          </c:xVal>
          <c:yVal>
            <c:numRef>
              <c:f>m!$DU$119:$DX$119</c:f>
              <c:numCache>
                <c:formatCode>General</c:formatCode>
                <c:ptCount val="4"/>
                <c:pt idx="1">
                  <c:v>1.4352855133981532</c:v>
                </c:pt>
              </c:numCache>
            </c:numRef>
          </c:yVal>
          <c:smooth val="0"/>
          <c:extLst>
            <c:ext xmlns:c16="http://schemas.microsoft.com/office/drawing/2014/chart" uri="{C3380CC4-5D6E-409C-BE32-E72D297353CC}">
              <c16:uniqueId val="{0000000A-067C-4C6E-B846-45C640C86745}"/>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m!$DY$88:$EL$88</c:f>
              <c:numCache>
                <c:formatCode>General</c:formatCode>
                <c:ptCount val="14"/>
                <c:pt idx="0">
                  <c:v>387.12046526060993</c:v>
                </c:pt>
                <c:pt idx="1">
                  <c:v>109.01295409328802</c:v>
                </c:pt>
                <c:pt idx="2">
                  <c:v>80.044164274946709</c:v>
                </c:pt>
                <c:pt idx="3">
                  <c:v>69.315374934098855</c:v>
                </c:pt>
                <c:pt idx="4">
                  <c:v>56.845340825747876</c:v>
                </c:pt>
                <c:pt idx="5">
                  <c:v>52.110362557298266</c:v>
                </c:pt>
                <c:pt idx="6">
                  <c:v>51.347614683737454</c:v>
                </c:pt>
                <c:pt idx="7">
                  <c:v>43.636818151904194</c:v>
                </c:pt>
                <c:pt idx="8">
                  <c:v>29.734510695495572</c:v>
                </c:pt>
                <c:pt idx="10">
                  <c:v>28.325629332891609</c:v>
                </c:pt>
                <c:pt idx="11">
                  <c:v>32.438035866153264</c:v>
                </c:pt>
                <c:pt idx="13">
                  <c:v>25.30851824555894</c:v>
                </c:pt>
              </c:numCache>
            </c:numRef>
          </c:xVal>
          <c:yVal>
            <c:numRef>
              <c:f>m!$DY$119:$EL$119</c:f>
              <c:numCache>
                <c:formatCode>General</c:formatCode>
                <c:ptCount val="14"/>
                <c:pt idx="0">
                  <c:v>1.3507042376109819</c:v>
                </c:pt>
                <c:pt idx="1">
                  <c:v>1.467802599610132</c:v>
                </c:pt>
                <c:pt idx="2">
                  <c:v>1.4810196113930421</c:v>
                </c:pt>
                <c:pt idx="3">
                  <c:v>1.5253664912372322</c:v>
                </c:pt>
                <c:pt idx="4">
                  <c:v>1.5112501526744344</c:v>
                </c:pt>
                <c:pt idx="5">
                  <c:v>1.4464244536784299</c:v>
                </c:pt>
                <c:pt idx="6">
                  <c:v>1.5395436565339897</c:v>
                </c:pt>
                <c:pt idx="7">
                  <c:v>1.4471817740768749</c:v>
                </c:pt>
                <c:pt idx="8">
                  <c:v>1.5127155044542606</c:v>
                </c:pt>
                <c:pt idx="10">
                  <c:v>1.4169464248572921</c:v>
                </c:pt>
                <c:pt idx="11">
                  <c:v>1.5301149282684972</c:v>
                </c:pt>
                <c:pt idx="13">
                  <c:v>1.4612513318059788</c:v>
                </c:pt>
              </c:numCache>
            </c:numRef>
          </c:yVal>
          <c:smooth val="0"/>
          <c:extLst>
            <c:ext xmlns:c16="http://schemas.microsoft.com/office/drawing/2014/chart" uri="{C3380CC4-5D6E-409C-BE32-E72D297353CC}">
              <c16:uniqueId val="{0000000B-067C-4C6E-B846-45C640C86745}"/>
            </c:ext>
          </c:extLst>
        </c:ser>
        <c:dLbls>
          <c:showLegendKey val="0"/>
          <c:showVal val="0"/>
          <c:showCatName val="0"/>
          <c:showSerName val="0"/>
          <c:showPercent val="0"/>
          <c:showBubbleSize val="0"/>
        </c:dLbls>
        <c:axId val="624399680"/>
        <c:axId val="624400008"/>
        <c:extLst/>
      </c:scatterChart>
      <c:valAx>
        <c:axId val="624399680"/>
        <c:scaling>
          <c:logBase val="10"/>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Normalized Effective Axial Force, Ñ = NL</a:t>
                </a:r>
                <a:r>
                  <a:rPr lang="en-US" sz="1400" b="0" i="0" u="none" strike="noStrike" baseline="-25000">
                    <a:effectLst/>
                  </a:rPr>
                  <a:t>st</a:t>
                </a:r>
                <a:r>
                  <a:rPr lang="en-US" sz="1400" b="0" i="0" u="none" strike="noStrike" baseline="30000">
                    <a:effectLst/>
                  </a:rPr>
                  <a:t>2</a:t>
                </a:r>
                <a:r>
                  <a:rPr lang="en-US" sz="1400" b="0" i="0" u="none" strike="noStrike" baseline="0">
                    <a:effectLst/>
                  </a:rPr>
                  <a:t>/(π</a:t>
                </a:r>
                <a:r>
                  <a:rPr lang="en-US" sz="1400" b="0" i="0" u="none" strike="noStrike" baseline="30000">
                    <a:effectLst/>
                  </a:rPr>
                  <a:t>2</a:t>
                </a:r>
                <a:r>
                  <a:rPr lang="en-US" sz="1400" b="0" i="0" u="none" strike="noStrike" baseline="0">
                    <a:effectLst/>
                  </a:rPr>
                  <a:t> EI)</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Ratio Fatigue-Equivalent / Dynamic Strain Amplitude, ϵ</a:t>
                </a:r>
                <a:r>
                  <a:rPr lang="en-US" sz="1400" b="0" i="0" u="none" strike="noStrike" baseline="-25000">
                    <a:effectLst/>
                  </a:rPr>
                  <a:t>e</a:t>
                </a:r>
                <a:r>
                  <a:rPr lang="en-US" sz="1400" b="0" i="0" u="none" strike="noStrike" baseline="0">
                    <a:effectLst/>
                  </a:rPr>
                  <a:t>/ϵ</a:t>
                </a:r>
                <a:endParaRPr lang="en-US" sz="1400">
                  <a:effectLst/>
                </a:endParaRPr>
              </a:p>
            </c:rich>
          </c:tx>
          <c:layout>
            <c:manualLayout>
              <c:xMode val="edge"/>
              <c:yMode val="edge"/>
              <c:x val="1.2786980528916013E-2"/>
              <c:y val="5.1139526362623478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extLst xmlns:c15="http://schemas.microsoft.com/office/drawing/2012/chart"/>
            </c:numRef>
          </c:xVal>
          <c:yVal>
            <c:numRef>
              <c:f>m!$AF$95:$AO$95</c:f>
              <c:numCache>
                <c:formatCode>General</c:formatCode>
                <c:ptCount val="10"/>
                <c:pt idx="6">
                  <c:v>6.0414806166082506</c:v>
                </c:pt>
                <c:pt idx="7">
                  <c:v>6.1292359928204512</c:v>
                </c:pt>
                <c:pt idx="8">
                  <c:v>5.2848958185987494</c:v>
                </c:pt>
                <c:pt idx="9">
                  <c:v>4.2979154085934459</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0-0886-46E0-8050-DB81D0ED9D60}"/>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extLst xmlns:c15="http://schemas.microsoft.com/office/drawing/2012/chart"/>
            </c:numRef>
          </c:xVal>
          <c:yVal>
            <c:numRef>
              <c:f>m!$AP$95:$BL$95</c:f>
              <c:numCache>
                <c:formatCode>General</c:formatCode>
                <c:ptCount val="23"/>
                <c:pt idx="0">
                  <c:v>5.0532147082786567</c:v>
                </c:pt>
                <c:pt idx="1">
                  <c:v>3.6133175421953494</c:v>
                </c:pt>
                <c:pt idx="2">
                  <c:v>4.4434942874585293</c:v>
                </c:pt>
                <c:pt idx="3">
                  <c:v>4.9154385147601225</c:v>
                </c:pt>
                <c:pt idx="4">
                  <c:v>5.3963977447979259</c:v>
                </c:pt>
                <c:pt idx="6">
                  <c:v>3.52255142553093</c:v>
                </c:pt>
                <c:pt idx="12">
                  <c:v>4.1401928182528742</c:v>
                </c:pt>
                <c:pt idx="19">
                  <c:v>4.490854651714832</c:v>
                </c:pt>
                <c:pt idx="20">
                  <c:v>4.8959517967458943</c:v>
                </c:pt>
                <c:pt idx="21">
                  <c:v>3.8939295934451761</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1-0886-46E0-8050-DB81D0ED9D60}"/>
            </c:ext>
          </c:extLst>
        </c:ser>
        <c:ser>
          <c:idx val="11"/>
          <c:order val="2"/>
          <c:tx>
            <c:v>CF, Pipe 1</c:v>
          </c:tx>
          <c:spPr>
            <a:ln w="25400" cap="rnd">
              <a:noFill/>
              <a:round/>
            </a:ln>
            <a:effectLst/>
          </c:spPr>
          <c:marker>
            <c:symbol val="x"/>
            <c:size val="7"/>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extLst xmlns:c15="http://schemas.microsoft.com/office/drawing/2012/chart"/>
            </c:numRef>
          </c:xVal>
          <c:yVal>
            <c:numRef>
              <c:f>m!$BM$95:$CO$95</c:f>
              <c:numCache>
                <c:formatCode>General</c:formatCode>
                <c:ptCount val="29"/>
                <c:pt idx="0">
                  <c:v>10.120470713192889</c:v>
                </c:pt>
                <c:pt idx="1">
                  <c:v>8.9453772336192614</c:v>
                </c:pt>
                <c:pt idx="3">
                  <c:v>10.611578666711525</c:v>
                </c:pt>
                <c:pt idx="4">
                  <c:v>13.484969152564005</c:v>
                </c:pt>
                <c:pt idx="5">
                  <c:v>9.6684949677469909</c:v>
                </c:pt>
                <c:pt idx="6">
                  <c:v>10.056504925363537</c:v>
                </c:pt>
                <c:pt idx="7">
                  <c:v>11.387889643620143</c:v>
                </c:pt>
                <c:pt idx="8">
                  <c:v>9.5704123434084227</c:v>
                </c:pt>
                <c:pt idx="9">
                  <c:v>9.3655475104383363</c:v>
                </c:pt>
                <c:pt idx="10">
                  <c:v>7.9975610372982713</c:v>
                </c:pt>
                <c:pt idx="11">
                  <c:v>8.2532209331067783</c:v>
                </c:pt>
                <c:pt idx="12">
                  <c:v>7.954322186490991</c:v>
                </c:pt>
                <c:pt idx="13">
                  <c:v>10.007795801208351</c:v>
                </c:pt>
                <c:pt idx="14">
                  <c:v>9.8621963860643529</c:v>
                </c:pt>
                <c:pt idx="15">
                  <c:v>9.4519747608689038</c:v>
                </c:pt>
                <c:pt idx="16">
                  <c:v>7.5048349972577322</c:v>
                </c:pt>
                <c:pt idx="17">
                  <c:v>7.5765537722697776</c:v>
                </c:pt>
                <c:pt idx="18">
                  <c:v>6.4600890770907728</c:v>
                </c:pt>
                <c:pt idx="19">
                  <c:v>6.3590149916729768</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2-0886-46E0-8050-DB81D0ED9D60}"/>
            </c:ext>
          </c:extLst>
        </c:ser>
        <c:ser>
          <c:idx val="13"/>
          <c:order val="3"/>
          <c:tx>
            <c:v>CF, Pipe 2</c:v>
          </c:tx>
          <c:spPr>
            <a:ln w="25400" cap="rnd">
              <a:noFill/>
              <a:round/>
            </a:ln>
            <a:effectLst/>
          </c:spPr>
          <c:marker>
            <c:symbol val="x"/>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extLst xmlns:c15="http://schemas.microsoft.com/office/drawing/2012/chart"/>
            </c:numRef>
          </c:xVal>
          <c:yVal>
            <c:numRef>
              <c:f>m!$CP$95:$DT$95</c:f>
              <c:numCache>
                <c:formatCode>General</c:formatCode>
                <c:ptCount val="31"/>
                <c:pt idx="0">
                  <c:v>7.230064864592558</c:v>
                </c:pt>
                <c:pt idx="1">
                  <c:v>7.8432795970043863</c:v>
                </c:pt>
                <c:pt idx="2">
                  <c:v>7.1611992718238096</c:v>
                </c:pt>
                <c:pt idx="3">
                  <c:v>8.5921413030732001</c:v>
                </c:pt>
                <c:pt idx="4">
                  <c:v>6.661272134560023</c:v>
                </c:pt>
                <c:pt idx="5">
                  <c:v>7.7435399296450607</c:v>
                </c:pt>
                <c:pt idx="6">
                  <c:v>6.1997981508460969</c:v>
                </c:pt>
                <c:pt idx="7">
                  <c:v>7.7408089896434431</c:v>
                </c:pt>
                <c:pt idx="8">
                  <c:v>8.6625983848095451</c:v>
                </c:pt>
                <c:pt idx="9">
                  <c:v>6.621771797238047</c:v>
                </c:pt>
                <c:pt idx="10">
                  <c:v>6.9659330774762003</c:v>
                </c:pt>
                <c:pt idx="11">
                  <c:v>7.1453382407870949</c:v>
                </c:pt>
                <c:pt idx="12">
                  <c:v>8.4516911292205865</c:v>
                </c:pt>
                <c:pt idx="14">
                  <c:v>6.0778760902500926</c:v>
                </c:pt>
                <c:pt idx="15">
                  <c:v>8.6619524722903734</c:v>
                </c:pt>
                <c:pt idx="18">
                  <c:v>7.3483443733593532</c:v>
                </c:pt>
                <c:pt idx="19">
                  <c:v>8.0072612621981989</c:v>
                </c:pt>
                <c:pt idx="20">
                  <c:v>7.0758839302446521</c:v>
                </c:pt>
                <c:pt idx="21">
                  <c:v>6.8389367669751673</c:v>
                </c:pt>
                <c:pt idx="22">
                  <c:v>6.2031731981670291</c:v>
                </c:pt>
                <c:pt idx="23">
                  <c:v>9.608322876774281</c:v>
                </c:pt>
                <c:pt idx="24">
                  <c:v>8.2080991638713332</c:v>
                </c:pt>
                <c:pt idx="25">
                  <c:v>10.795030638909601</c:v>
                </c:pt>
                <c:pt idx="26">
                  <c:v>9.9406684789797772</c:v>
                </c:pt>
                <c:pt idx="27">
                  <c:v>7.6699085645929568</c:v>
                </c:pt>
                <c:pt idx="28">
                  <c:v>6.1233547438995259</c:v>
                </c:pt>
                <c:pt idx="29">
                  <c:v>6.1359189433264092</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3-0886-46E0-8050-DB81D0ED9D60}"/>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m!$DU$86:$DX$86</c:f>
              <c:numCache>
                <c:formatCode>General</c:formatCode>
                <c:ptCount val="4"/>
                <c:pt idx="1">
                  <c:v>3.8469075681895233</c:v>
                </c:pt>
              </c:numCache>
              <c:extLst xmlns:c15="http://schemas.microsoft.com/office/drawing/2012/chart"/>
            </c:numRef>
          </c:xVal>
          <c:yVal>
            <c:numRef>
              <c:f>m!$DU$95:$DX$95</c:f>
              <c:numCache>
                <c:formatCode>General</c:formatCode>
                <c:ptCount val="4"/>
                <c:pt idx="1">
                  <c:v>11.627400337732656</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4-0886-46E0-8050-DB81D0ED9D60}"/>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m!$DY$95:$EL$95</c:f>
              <c:numCache>
                <c:formatCode>General</c:formatCode>
                <c:ptCount val="14"/>
                <c:pt idx="0">
                  <c:v>11.841933921401584</c:v>
                </c:pt>
                <c:pt idx="1">
                  <c:v>10.112716420782542</c:v>
                </c:pt>
                <c:pt idx="2">
                  <c:v>10.75326981223963</c:v>
                </c:pt>
                <c:pt idx="3">
                  <c:v>12.593437950738654</c:v>
                </c:pt>
                <c:pt idx="4">
                  <c:v>9.9708079988168254</c:v>
                </c:pt>
                <c:pt idx="5">
                  <c:v>12.57159489291657</c:v>
                </c:pt>
                <c:pt idx="6">
                  <c:v>11.025393435074347</c:v>
                </c:pt>
                <c:pt idx="7">
                  <c:v>8.8729996804417208</c:v>
                </c:pt>
                <c:pt idx="8">
                  <c:v>12.254596368878824</c:v>
                </c:pt>
                <c:pt idx="10">
                  <c:v>9.2304269063872528</c:v>
                </c:pt>
                <c:pt idx="11">
                  <c:v>10.128045629794443</c:v>
                </c:pt>
                <c:pt idx="13">
                  <c:v>8.7481293899266319</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5-0886-46E0-8050-DB81D0ED9D60}"/>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numRef>
          </c:xVal>
          <c:yVal>
            <c:numRef>
              <c:f>m!$AF$96:$AO$96</c:f>
              <c:numCache>
                <c:formatCode>General</c:formatCode>
                <c:ptCount val="10"/>
                <c:pt idx="6">
                  <c:v>4.6527598235675249</c:v>
                </c:pt>
                <c:pt idx="7">
                  <c:v>4.2805274655235781</c:v>
                </c:pt>
                <c:pt idx="8">
                  <c:v>3.4393569277814708</c:v>
                </c:pt>
                <c:pt idx="9">
                  <c:v>3.6129037340831314</c:v>
                </c:pt>
              </c:numCache>
            </c:numRef>
          </c:yVal>
          <c:smooth val="0"/>
          <c:extLst>
            <c:ext xmlns:c16="http://schemas.microsoft.com/office/drawing/2014/chart" uri="{C3380CC4-5D6E-409C-BE32-E72D297353CC}">
              <c16:uniqueId val="{00000006-0886-46E0-8050-DB81D0ED9D60}"/>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f>m!$AP$96:$BL$96</c:f>
              <c:numCache>
                <c:formatCode>General</c:formatCode>
                <c:ptCount val="23"/>
                <c:pt idx="0">
                  <c:v>5.4755784611121161</c:v>
                </c:pt>
                <c:pt idx="1">
                  <c:v>5.1682826595532747</c:v>
                </c:pt>
                <c:pt idx="2">
                  <c:v>3.0985995787371445</c:v>
                </c:pt>
                <c:pt idx="3">
                  <c:v>3.134879815279314</c:v>
                </c:pt>
                <c:pt idx="4">
                  <c:v>3.0033011206407316</c:v>
                </c:pt>
                <c:pt idx="6">
                  <c:v>2.9529997740314693</c:v>
                </c:pt>
                <c:pt idx="12">
                  <c:v>2.536745078640724</c:v>
                </c:pt>
                <c:pt idx="19">
                  <c:v>5.2461545091174413</c:v>
                </c:pt>
                <c:pt idx="20">
                  <c:v>3.8667689214808134</c:v>
                </c:pt>
                <c:pt idx="21">
                  <c:v>5.2126574434788768</c:v>
                </c:pt>
              </c:numCache>
            </c:numRef>
          </c:yVal>
          <c:smooth val="0"/>
          <c:extLst>
            <c:ext xmlns:c16="http://schemas.microsoft.com/office/drawing/2014/chart" uri="{C3380CC4-5D6E-409C-BE32-E72D297353CC}">
              <c16:uniqueId val="{00000007-0886-46E0-8050-DB81D0ED9D60}"/>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numRef>
          </c:xVal>
          <c:yVal>
            <c:numRef>
              <c:f>m!$BM$96:$CO$96</c:f>
              <c:numCache>
                <c:formatCode>General</c:formatCode>
                <c:ptCount val="29"/>
                <c:pt idx="0">
                  <c:v>7.7033235890944756</c:v>
                </c:pt>
                <c:pt idx="1">
                  <c:v>9.1444916587946974</c:v>
                </c:pt>
                <c:pt idx="3">
                  <c:v>8.7140648971788437</c:v>
                </c:pt>
                <c:pt idx="4">
                  <c:v>12.927157671770168</c:v>
                </c:pt>
                <c:pt idx="5">
                  <c:v>8.3600761384121469</c:v>
                </c:pt>
                <c:pt idx="6">
                  <c:v>8.9999781210833945</c:v>
                </c:pt>
                <c:pt idx="7">
                  <c:v>11.710147435168425</c:v>
                </c:pt>
                <c:pt idx="8">
                  <c:v>9.6604016799591612</c:v>
                </c:pt>
                <c:pt idx="9">
                  <c:v>8.9844518836473455</c:v>
                </c:pt>
                <c:pt idx="10">
                  <c:v>8.1478940601600911</c:v>
                </c:pt>
                <c:pt idx="11">
                  <c:v>7.9194530647955013</c:v>
                </c:pt>
                <c:pt idx="12">
                  <c:v>8.4688373486197897</c:v>
                </c:pt>
                <c:pt idx="13">
                  <c:v>8.1654266073084845</c:v>
                </c:pt>
                <c:pt idx="14">
                  <c:v>10.157317419596724</c:v>
                </c:pt>
                <c:pt idx="15">
                  <c:v>8.4459765120883326</c:v>
                </c:pt>
                <c:pt idx="16">
                  <c:v>8.8566927659923493</c:v>
                </c:pt>
                <c:pt idx="17">
                  <c:v>7.9864493524762779</c:v>
                </c:pt>
                <c:pt idx="18">
                  <c:v>7.5929751024784267</c:v>
                </c:pt>
                <c:pt idx="19">
                  <c:v>7.0417931291632536</c:v>
                </c:pt>
              </c:numCache>
            </c:numRef>
          </c:yVal>
          <c:smooth val="0"/>
          <c:extLst>
            <c:ext xmlns:c16="http://schemas.microsoft.com/office/drawing/2014/chart" uri="{C3380CC4-5D6E-409C-BE32-E72D297353CC}">
              <c16:uniqueId val="{00000008-0886-46E0-8050-DB81D0ED9D60}"/>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numRef>
          </c:xVal>
          <c:yVal>
            <c:numRef>
              <c:f>m!$CP$96:$DT$96</c:f>
              <c:numCache>
                <c:formatCode>General</c:formatCode>
                <c:ptCount val="31"/>
                <c:pt idx="0">
                  <c:v>6.6249810457925706</c:v>
                </c:pt>
                <c:pt idx="1">
                  <c:v>5.9447274054537775</c:v>
                </c:pt>
                <c:pt idx="2">
                  <c:v>4.3790295625014277</c:v>
                </c:pt>
                <c:pt idx="3">
                  <c:v>7.0215974595106143</c:v>
                </c:pt>
                <c:pt idx="4">
                  <c:v>5.4768436761823818</c:v>
                </c:pt>
                <c:pt idx="5">
                  <c:v>4.8822056936446092</c:v>
                </c:pt>
                <c:pt idx="6">
                  <c:v>4.4672288224686083</c:v>
                </c:pt>
                <c:pt idx="7">
                  <c:v>6.5369518717044457</c:v>
                </c:pt>
                <c:pt idx="8">
                  <c:v>7.9590472097189648</c:v>
                </c:pt>
                <c:pt idx="9">
                  <c:v>5.4878070883378705</c:v>
                </c:pt>
                <c:pt idx="10">
                  <c:v>6.5026988056572304</c:v>
                </c:pt>
                <c:pt idx="11">
                  <c:v>6.329848379965453</c:v>
                </c:pt>
                <c:pt idx="12">
                  <c:v>6.2013253457317621</c:v>
                </c:pt>
                <c:pt idx="14">
                  <c:v>5.2492619268133645</c:v>
                </c:pt>
                <c:pt idx="15">
                  <c:v>6.3209002515631276</c:v>
                </c:pt>
                <c:pt idx="18">
                  <c:v>6.4868297836002924</c:v>
                </c:pt>
                <c:pt idx="19">
                  <c:v>5.827620282954654</c:v>
                </c:pt>
                <c:pt idx="20">
                  <c:v>7.0663143302767422</c:v>
                </c:pt>
                <c:pt idx="21">
                  <c:v>5.9628619384453367</c:v>
                </c:pt>
                <c:pt idx="22">
                  <c:v>5.5226853762264438</c:v>
                </c:pt>
                <c:pt idx="23">
                  <c:v>9.7019903060697743</c:v>
                </c:pt>
                <c:pt idx="24">
                  <c:v>7.6053639768993335</c:v>
                </c:pt>
                <c:pt idx="25">
                  <c:v>7.5584542426748964</c:v>
                </c:pt>
                <c:pt idx="26">
                  <c:v>6.9427008530083283</c:v>
                </c:pt>
                <c:pt idx="27">
                  <c:v>6.4055240885023839</c:v>
                </c:pt>
                <c:pt idx="28">
                  <c:v>5.9595789339150782</c:v>
                </c:pt>
                <c:pt idx="29">
                  <c:v>5.8625018670641422</c:v>
                </c:pt>
              </c:numCache>
            </c:numRef>
          </c:yVal>
          <c:smooth val="0"/>
          <c:extLst>
            <c:ext xmlns:c16="http://schemas.microsoft.com/office/drawing/2014/chart" uri="{C3380CC4-5D6E-409C-BE32-E72D297353CC}">
              <c16:uniqueId val="{00000009-0886-46E0-8050-DB81D0ED9D60}"/>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m!$DU$86:$DX$86</c:f>
              <c:numCache>
                <c:formatCode>General</c:formatCode>
                <c:ptCount val="4"/>
                <c:pt idx="1">
                  <c:v>3.8469075681895233</c:v>
                </c:pt>
              </c:numCache>
            </c:numRef>
          </c:xVal>
          <c:yVal>
            <c:numRef>
              <c:f>m!$DU$96:$DX$96</c:f>
              <c:numCache>
                <c:formatCode>General</c:formatCode>
                <c:ptCount val="4"/>
                <c:pt idx="1">
                  <c:v>8.5837852954236631</c:v>
                </c:pt>
              </c:numCache>
            </c:numRef>
          </c:yVal>
          <c:smooth val="0"/>
          <c:extLst>
            <c:ext xmlns:c16="http://schemas.microsoft.com/office/drawing/2014/chart" uri="{C3380CC4-5D6E-409C-BE32-E72D297353CC}">
              <c16:uniqueId val="{0000000A-0886-46E0-8050-DB81D0ED9D60}"/>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m!$DY$96:$EL$96</c:f>
              <c:numCache>
                <c:formatCode>General</c:formatCode>
                <c:ptCount val="14"/>
                <c:pt idx="0">
                  <c:v>8.0736939293288259</c:v>
                </c:pt>
                <c:pt idx="1">
                  <c:v>8.5723204770723118</c:v>
                </c:pt>
                <c:pt idx="2">
                  <c:v>9.3688715981853772</c:v>
                </c:pt>
                <c:pt idx="3">
                  <c:v>11.808645757253798</c:v>
                </c:pt>
                <c:pt idx="4">
                  <c:v>9.3027335683988124</c:v>
                </c:pt>
                <c:pt idx="5">
                  <c:v>8.8407959437509973</c:v>
                </c:pt>
                <c:pt idx="6">
                  <c:v>9.4797698241348378</c:v>
                </c:pt>
                <c:pt idx="7">
                  <c:v>7.8622566156607085</c:v>
                </c:pt>
                <c:pt idx="8">
                  <c:v>9.6176111415033159</c:v>
                </c:pt>
                <c:pt idx="10">
                  <c:v>7.4199267899654808</c:v>
                </c:pt>
                <c:pt idx="11">
                  <c:v>7.9053481326688049</c:v>
                </c:pt>
                <c:pt idx="13">
                  <c:v>7.3530728474436851</c:v>
                </c:pt>
              </c:numCache>
            </c:numRef>
          </c:yVal>
          <c:smooth val="0"/>
          <c:extLst>
            <c:ext xmlns:c16="http://schemas.microsoft.com/office/drawing/2014/chart" uri="{C3380CC4-5D6E-409C-BE32-E72D297353CC}">
              <c16:uniqueId val="{0000000B-0886-46E0-8050-DB81D0ED9D60}"/>
            </c:ext>
          </c:extLst>
        </c:ser>
        <c:ser>
          <c:idx val="1"/>
          <c:order val="12"/>
          <c:tx>
            <c:v>F105, CF, Ormen Lange</c:v>
          </c:tx>
          <c:spPr>
            <a:ln w="25400" cap="rnd">
              <a:noFill/>
              <a:round/>
            </a:ln>
            <a:effectLst/>
          </c:spPr>
          <c:marker>
            <c:symbol val="triangle"/>
            <c:size val="6"/>
            <c:spPr>
              <a:noFill/>
              <a:ln w="952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numRef>
          </c:xVal>
          <c:yVal>
            <c:numRef>
              <c:f>m!$AF$148:$AO$148</c:f>
              <c:numCache>
                <c:formatCode>General</c:formatCode>
                <c:ptCount val="10"/>
                <c:pt idx="6">
                  <c:v>6.1707405339277317</c:v>
                </c:pt>
                <c:pt idx="7">
                  <c:v>6.1966259124625171</c:v>
                </c:pt>
                <c:pt idx="8">
                  <c:v>6.5552180725629912</c:v>
                </c:pt>
                <c:pt idx="9">
                  <c:v>6.8478130345633437</c:v>
                </c:pt>
              </c:numCache>
            </c:numRef>
          </c:yVal>
          <c:smooth val="0"/>
          <c:extLst>
            <c:ext xmlns:c16="http://schemas.microsoft.com/office/drawing/2014/chart" uri="{C3380CC4-5D6E-409C-BE32-E72D297353CC}">
              <c16:uniqueId val="{0000000C-0886-46E0-8050-DB81D0ED9D60}"/>
            </c:ext>
          </c:extLst>
        </c:ser>
        <c:ser>
          <c:idx val="2"/>
          <c:order val="13"/>
          <c:tx>
            <c:v>F105, CF, ExxonMobil</c:v>
          </c:tx>
          <c:spPr>
            <a:ln w="25400" cap="rnd">
              <a:noFill/>
              <a:round/>
            </a:ln>
            <a:effectLst/>
          </c:spPr>
          <c:marker>
            <c:symbol val="triangle"/>
            <c:size val="6"/>
            <c:spPr>
              <a:noFill/>
              <a:ln w="952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f>m!$AP$148:$BL$148</c:f>
              <c:numCache>
                <c:formatCode>General</c:formatCode>
                <c:ptCount val="23"/>
                <c:pt idx="0">
                  <c:v>5.7664177230376348</c:v>
                </c:pt>
                <c:pt idx="1">
                  <c:v>4.4851975314250794</c:v>
                </c:pt>
                <c:pt idx="2">
                  <c:v>6.8557048470839259</c:v>
                </c:pt>
                <c:pt idx="3">
                  <c:v>7.2794485390290742</c:v>
                </c:pt>
                <c:pt idx="4">
                  <c:v>6.8439883937292034</c:v>
                </c:pt>
                <c:pt idx="6">
                  <c:v>7.050968728361922</c:v>
                </c:pt>
                <c:pt idx="12">
                  <c:v>8.1179945597004384</c:v>
                </c:pt>
                <c:pt idx="19">
                  <c:v>4.50313902736948</c:v>
                </c:pt>
                <c:pt idx="20">
                  <c:v>6.4236945816413451</c:v>
                </c:pt>
                <c:pt idx="21">
                  <c:v>4.4881273601846132</c:v>
                </c:pt>
              </c:numCache>
            </c:numRef>
          </c:yVal>
          <c:smooth val="0"/>
          <c:extLst>
            <c:ext xmlns:c16="http://schemas.microsoft.com/office/drawing/2014/chart" uri="{C3380CC4-5D6E-409C-BE32-E72D297353CC}">
              <c16:uniqueId val="{0000000E-0886-46E0-8050-DB81D0ED9D60}"/>
            </c:ext>
          </c:extLst>
        </c:ser>
        <c:ser>
          <c:idx val="3"/>
          <c:order val="14"/>
          <c:tx>
            <c:v>F105, CF, Pipe 1</c:v>
          </c:tx>
          <c:spPr>
            <a:ln w="25400" cap="rnd">
              <a:noFill/>
              <a:round/>
            </a:ln>
            <a:effectLst/>
          </c:spPr>
          <c:marker>
            <c:symbol val="triangle"/>
            <c:size val="6"/>
            <c:spPr>
              <a:noFill/>
              <a:ln w="952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numRef>
          </c:xVal>
          <c:yVal>
            <c:numRef>
              <c:f>m!$BM$148:$CO$148</c:f>
              <c:numCache>
                <c:formatCode>General</c:formatCode>
                <c:ptCount val="29"/>
                <c:pt idx="0">
                  <c:v>13.0718083102894</c:v>
                </c:pt>
                <c:pt idx="1">
                  <c:v>15.157383394504809</c:v>
                </c:pt>
                <c:pt idx="3">
                  <c:v>12.375894188138137</c:v>
                </c:pt>
                <c:pt idx="4">
                  <c:v>13.214325939565411</c:v>
                </c:pt>
                <c:pt idx="5">
                  <c:v>13.772413317654266</c:v>
                </c:pt>
                <c:pt idx="6">
                  <c:v>14.536813362544542</c:v>
                </c:pt>
                <c:pt idx="7">
                  <c:v>14.844019710888631</c:v>
                </c:pt>
                <c:pt idx="8">
                  <c:v>15.223292575996968</c:v>
                </c:pt>
                <c:pt idx="9">
                  <c:v>15.194005644710657</c:v>
                </c:pt>
                <c:pt idx="10">
                  <c:v>16.237089208992703</c:v>
                </c:pt>
                <c:pt idx="11">
                  <c:v>16.657653432478011</c:v>
                </c:pt>
                <c:pt idx="12">
                  <c:v>16.899833694384537</c:v>
                </c:pt>
                <c:pt idx="13">
                  <c:v>12.38476239138166</c:v>
                </c:pt>
                <c:pt idx="14">
                  <c:v>15.213931198434937</c:v>
                </c:pt>
                <c:pt idx="15">
                  <c:v>15.168071714709983</c:v>
                </c:pt>
                <c:pt idx="16">
                  <c:v>16.872488723572314</c:v>
                </c:pt>
                <c:pt idx="17">
                  <c:v>17.182016993789322</c:v>
                </c:pt>
                <c:pt idx="18">
                  <c:v>17.51333686254236</c:v>
                </c:pt>
                <c:pt idx="19">
                  <c:v>17.739428694097697</c:v>
                </c:pt>
              </c:numCache>
            </c:numRef>
          </c:yVal>
          <c:smooth val="0"/>
          <c:extLst>
            <c:ext xmlns:c16="http://schemas.microsoft.com/office/drawing/2014/chart" uri="{C3380CC4-5D6E-409C-BE32-E72D297353CC}">
              <c16:uniqueId val="{0000000F-0886-46E0-8050-DB81D0ED9D60}"/>
            </c:ext>
          </c:extLst>
        </c:ser>
        <c:ser>
          <c:idx val="15"/>
          <c:order val="15"/>
          <c:tx>
            <c:v>F105, CF, Pipe 2</c:v>
          </c:tx>
          <c:spPr>
            <a:ln w="25400" cap="rnd">
              <a:noFill/>
              <a:round/>
            </a:ln>
            <a:effectLst/>
          </c:spPr>
          <c:marker>
            <c:symbol val="triangle"/>
            <c:size val="6"/>
            <c:spPr>
              <a:noFill/>
              <a:ln w="952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numRef>
          </c:xVal>
          <c:yVal>
            <c:numRef>
              <c:f>m!$CP$148:$DT$148</c:f>
              <c:numCache>
                <c:formatCode>General</c:formatCode>
                <c:ptCount val="31"/>
                <c:pt idx="0">
                  <c:v>8.6621446768190733</c:v>
                </c:pt>
                <c:pt idx="1">
                  <c:v>9.1211376649576223</c:v>
                </c:pt>
                <c:pt idx="2">
                  <c:v>9.602760181098974</c:v>
                </c:pt>
                <c:pt idx="3">
                  <c:v>10.17840864366641</c:v>
                </c:pt>
                <c:pt idx="4">
                  <c:v>9.9613797067500247</c:v>
                </c:pt>
                <c:pt idx="5">
                  <c:v>10.406710660198291</c:v>
                </c:pt>
                <c:pt idx="6">
                  <c:v>10.9392238405488</c:v>
                </c:pt>
                <c:pt idx="7">
                  <c:v>10.883144143869117</c:v>
                </c:pt>
                <c:pt idx="8">
                  <c:v>10.853583129794639</c:v>
                </c:pt>
                <c:pt idx="9">
                  <c:v>11.226450481956547</c:v>
                </c:pt>
                <c:pt idx="10">
                  <c:v>11.323648047514805</c:v>
                </c:pt>
                <c:pt idx="11">
                  <c:v>11.728744611284025</c:v>
                </c:pt>
                <c:pt idx="12">
                  <c:v>11.774685502043656</c:v>
                </c:pt>
                <c:pt idx="14">
                  <c:v>11.751256030865678</c:v>
                </c:pt>
                <c:pt idx="15">
                  <c:v>7.9797341928392855</c:v>
                </c:pt>
                <c:pt idx="18">
                  <c:v>12.235180623804579</c:v>
                </c:pt>
                <c:pt idx="19">
                  <c:v>12.314069436635101</c:v>
                </c:pt>
                <c:pt idx="20">
                  <c:v>12.72077685603797</c:v>
                </c:pt>
                <c:pt idx="21">
                  <c:v>12.751162049775745</c:v>
                </c:pt>
                <c:pt idx="22">
                  <c:v>13.089378388530138</c:v>
                </c:pt>
                <c:pt idx="23">
                  <c:v>7.1050230629040056</c:v>
                </c:pt>
                <c:pt idx="24">
                  <c:v>7.3514387937291472</c:v>
                </c:pt>
                <c:pt idx="25">
                  <c:v>7.1626454459005329</c:v>
                </c:pt>
                <c:pt idx="26">
                  <c:v>7.8052972118750503</c:v>
                </c:pt>
                <c:pt idx="27">
                  <c:v>6.3964538460238414</c:v>
                </c:pt>
                <c:pt idx="28">
                  <c:v>12.140095573249408</c:v>
                </c:pt>
                <c:pt idx="29">
                  <c:v>12.30038201837586</c:v>
                </c:pt>
              </c:numCache>
            </c:numRef>
          </c:yVal>
          <c:smooth val="0"/>
          <c:extLst>
            <c:ext xmlns:c16="http://schemas.microsoft.com/office/drawing/2014/chart" uri="{C3380CC4-5D6E-409C-BE32-E72D297353CC}">
              <c16:uniqueId val="{00000010-0886-46E0-8050-DB81D0ED9D60}"/>
            </c:ext>
          </c:extLst>
        </c:ser>
        <c:ser>
          <c:idx val="16"/>
          <c:order val="16"/>
          <c:tx>
            <c:v>F105, CF, Pipe 3 Smooth</c:v>
          </c:tx>
          <c:spPr>
            <a:ln w="25400" cap="rnd">
              <a:noFill/>
              <a:round/>
            </a:ln>
            <a:effectLst/>
          </c:spPr>
          <c:marker>
            <c:symbol val="triangle"/>
            <c:size val="5"/>
            <c:spPr>
              <a:noFill/>
              <a:ln w="9525">
                <a:solidFill>
                  <a:schemeClr val="accent2"/>
                </a:solidFill>
              </a:ln>
              <a:effectLst/>
            </c:spPr>
          </c:marker>
          <c:xVal>
            <c:numRef>
              <c:f>m!$DU$86:$DX$86</c:f>
              <c:numCache>
                <c:formatCode>General</c:formatCode>
                <c:ptCount val="4"/>
                <c:pt idx="1">
                  <c:v>3.8469075681895233</c:v>
                </c:pt>
              </c:numCache>
            </c:numRef>
          </c:xVal>
          <c:yVal>
            <c:numRef>
              <c:f>m!$DU$148:$DX$148</c:f>
              <c:numCache>
                <c:formatCode>General</c:formatCode>
                <c:ptCount val="4"/>
                <c:pt idx="1">
                  <c:v>6.92384589216796</c:v>
                </c:pt>
              </c:numCache>
            </c:numRef>
          </c:yVal>
          <c:smooth val="0"/>
          <c:extLst>
            <c:ext xmlns:c16="http://schemas.microsoft.com/office/drawing/2014/chart" uri="{C3380CC4-5D6E-409C-BE32-E72D297353CC}">
              <c16:uniqueId val="{00000011-0886-46E0-8050-DB81D0ED9D60}"/>
            </c:ext>
          </c:extLst>
        </c:ser>
        <c:ser>
          <c:idx val="17"/>
          <c:order val="17"/>
          <c:tx>
            <c:v>F105, CF, Pipe 3 Rough</c:v>
          </c:tx>
          <c:spPr>
            <a:ln w="25400" cap="rnd">
              <a:noFill/>
              <a:round/>
            </a:ln>
            <a:effectLst/>
          </c:spPr>
          <c:marker>
            <c:symbol val="triangle"/>
            <c:size val="6"/>
            <c:spPr>
              <a:noFill/>
              <a:ln w="9525">
                <a:solidFill>
                  <a:srgbClr val="7030A0"/>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m!$DY$148:$EL$148</c:f>
              <c:numCache>
                <c:formatCode>General</c:formatCode>
                <c:ptCount val="14"/>
                <c:pt idx="0">
                  <c:v>4.7827104258011648</c:v>
                </c:pt>
                <c:pt idx="1">
                  <c:v>6.8717197666371757</c:v>
                </c:pt>
                <c:pt idx="2">
                  <c:v>8.3848600942179203</c:v>
                </c:pt>
                <c:pt idx="3">
                  <c:v>8.0232577753924641</c:v>
                </c:pt>
                <c:pt idx="4">
                  <c:v>8.9591147942242948</c:v>
                </c:pt>
                <c:pt idx="5">
                  <c:v>8.7672122395357501</c:v>
                </c:pt>
                <c:pt idx="6">
                  <c:v>8.7856821100534486</c:v>
                </c:pt>
                <c:pt idx="7">
                  <c:v>9.4678765272819287</c:v>
                </c:pt>
                <c:pt idx="8">
                  <c:v>10.097076863073962</c:v>
                </c:pt>
                <c:pt idx="10">
                  <c:v>10.564399901687489</c:v>
                </c:pt>
                <c:pt idx="11">
                  <c:v>10.594858204513915</c:v>
                </c:pt>
                <c:pt idx="13">
                  <c:v>9.8731881042451093</c:v>
                </c:pt>
              </c:numCache>
            </c:numRef>
          </c:yVal>
          <c:smooth val="0"/>
          <c:extLst>
            <c:ext xmlns:c16="http://schemas.microsoft.com/office/drawing/2014/chart" uri="{C3380CC4-5D6E-409C-BE32-E72D297353CC}">
              <c16:uniqueId val="{00000012-0886-46E0-8050-DB81D0ED9D60}"/>
            </c:ext>
          </c:extLst>
        </c:ser>
        <c:ser>
          <c:idx val="18"/>
          <c:order val="18"/>
          <c:tx>
            <c:v>F105, IL, Ormen Lange</c:v>
          </c:tx>
          <c:spPr>
            <a:ln w="25400" cap="rnd">
              <a:noFill/>
              <a:round/>
            </a:ln>
            <a:effectLst/>
          </c:spPr>
          <c:marker>
            <c:symbol val="square"/>
            <c:size val="6"/>
            <c:spPr>
              <a:noFill/>
              <a:ln w="952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numRef>
          </c:xVal>
          <c:yVal>
            <c:numRef>
              <c:f>m!$AF$149:$AO$149</c:f>
              <c:numCache>
                <c:formatCode>General</c:formatCode>
                <c:ptCount val="10"/>
                <c:pt idx="6">
                  <c:v>4.8440503741519176</c:v>
                </c:pt>
                <c:pt idx="7">
                  <c:v>4.791884138400742</c:v>
                </c:pt>
                <c:pt idx="8">
                  <c:v>4.6647777709978584</c:v>
                </c:pt>
                <c:pt idx="9">
                  <c:v>4.7658815294446244</c:v>
                </c:pt>
              </c:numCache>
            </c:numRef>
          </c:yVal>
          <c:smooth val="0"/>
          <c:extLst>
            <c:ext xmlns:c16="http://schemas.microsoft.com/office/drawing/2014/chart" uri="{C3380CC4-5D6E-409C-BE32-E72D297353CC}">
              <c16:uniqueId val="{00000000-1D51-4C31-986A-161781786AFC}"/>
            </c:ext>
          </c:extLst>
        </c:ser>
        <c:ser>
          <c:idx val="19"/>
          <c:order val="19"/>
          <c:tx>
            <c:v>F105, IL, ExxonMobil</c:v>
          </c:tx>
          <c:spPr>
            <a:ln w="25400" cap="rnd">
              <a:noFill/>
              <a:round/>
            </a:ln>
            <a:effectLst/>
          </c:spPr>
          <c:marker>
            <c:symbol val="square"/>
            <c:size val="6"/>
            <c:spPr>
              <a:noFill/>
              <a:ln w="952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f>m!$AP$149:$BL$149</c:f>
              <c:numCache>
                <c:formatCode>General</c:formatCode>
                <c:ptCount val="23"/>
                <c:pt idx="0">
                  <c:v>7.4862750713362507</c:v>
                </c:pt>
                <c:pt idx="1">
                  <c:v>7.199321314218734</c:v>
                </c:pt>
                <c:pt idx="2">
                  <c:v>7.1661669845064857</c:v>
                </c:pt>
                <c:pt idx="3">
                  <c:v>6.941851615233424</c:v>
                </c:pt>
                <c:pt idx="4">
                  <c:v>6.8366471239240507</c:v>
                </c:pt>
                <c:pt idx="6">
                  <c:v>6.9425334791241005</c:v>
                </c:pt>
                <c:pt idx="12">
                  <c:v>7.3422270338714926</c:v>
                </c:pt>
                <c:pt idx="19">
                  <c:v>8.0001260489638799</c:v>
                </c:pt>
                <c:pt idx="20">
                  <c:v>7.295128822311888</c:v>
                </c:pt>
                <c:pt idx="21">
                  <c:v>7.1533452517383154</c:v>
                </c:pt>
              </c:numCache>
            </c:numRef>
          </c:yVal>
          <c:smooth val="0"/>
          <c:extLst>
            <c:ext xmlns:c16="http://schemas.microsoft.com/office/drawing/2014/chart" uri="{C3380CC4-5D6E-409C-BE32-E72D297353CC}">
              <c16:uniqueId val="{00000001-1D51-4C31-986A-161781786AFC}"/>
            </c:ext>
          </c:extLst>
        </c:ser>
        <c:ser>
          <c:idx val="20"/>
          <c:order val="20"/>
          <c:tx>
            <c:v>F105, IL, Pipe 1</c:v>
          </c:tx>
          <c:spPr>
            <a:ln w="25400" cap="rnd">
              <a:noFill/>
              <a:round/>
            </a:ln>
            <a:effectLst/>
          </c:spPr>
          <c:marker>
            <c:symbol val="square"/>
            <c:size val="6"/>
            <c:spPr>
              <a:noFill/>
              <a:ln w="952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numRef>
          </c:xVal>
          <c:yVal>
            <c:numRef>
              <c:f>m!$BM$149:$CO$149</c:f>
              <c:numCache>
                <c:formatCode>General</c:formatCode>
                <c:ptCount val="29"/>
                <c:pt idx="0">
                  <c:v>17.787573537752653</c:v>
                </c:pt>
                <c:pt idx="1">
                  <c:v>20.585513512522549</c:v>
                </c:pt>
                <c:pt idx="3">
                  <c:v>20.961126446729818</c:v>
                </c:pt>
                <c:pt idx="4">
                  <c:v>21.460129155899306</c:v>
                </c:pt>
                <c:pt idx="5">
                  <c:v>21.486398892073368</c:v>
                </c:pt>
                <c:pt idx="6">
                  <c:v>21.960384924507999</c:v>
                </c:pt>
                <c:pt idx="7">
                  <c:v>22.173803446667694</c:v>
                </c:pt>
                <c:pt idx="8">
                  <c:v>22.732833387802184</c:v>
                </c:pt>
                <c:pt idx="9">
                  <c:v>22.986872895931338</c:v>
                </c:pt>
                <c:pt idx="10">
                  <c:v>23.708758888852099</c:v>
                </c:pt>
                <c:pt idx="11">
                  <c:v>24.089214766534656</c:v>
                </c:pt>
                <c:pt idx="12">
                  <c:v>24.927801386741923</c:v>
                </c:pt>
                <c:pt idx="13">
                  <c:v>20.841629329770424</c:v>
                </c:pt>
                <c:pt idx="14">
                  <c:v>22.710183839945945</c:v>
                </c:pt>
                <c:pt idx="15">
                  <c:v>22.350115728148847</c:v>
                </c:pt>
                <c:pt idx="16">
                  <c:v>24.608718365812706</c:v>
                </c:pt>
                <c:pt idx="17">
                  <c:v>25.233806895238512</c:v>
                </c:pt>
                <c:pt idx="18">
                  <c:v>25.347843787126504</c:v>
                </c:pt>
                <c:pt idx="19">
                  <c:v>25.806548215489073</c:v>
                </c:pt>
              </c:numCache>
            </c:numRef>
          </c:yVal>
          <c:smooth val="0"/>
          <c:extLst>
            <c:ext xmlns:c16="http://schemas.microsoft.com/office/drawing/2014/chart" uri="{C3380CC4-5D6E-409C-BE32-E72D297353CC}">
              <c16:uniqueId val="{00000002-1D51-4C31-986A-161781786AFC}"/>
            </c:ext>
          </c:extLst>
        </c:ser>
        <c:ser>
          <c:idx val="21"/>
          <c:order val="21"/>
          <c:tx>
            <c:v>F105, IL, Pipe 2</c:v>
          </c:tx>
          <c:spPr>
            <a:ln w="25400" cap="rnd">
              <a:noFill/>
              <a:round/>
            </a:ln>
            <a:effectLst/>
          </c:spPr>
          <c:marker>
            <c:symbol val="square"/>
            <c:size val="5"/>
            <c:spPr>
              <a:noFill/>
              <a:ln w="12700">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numRef>
          </c:xVal>
          <c:yVal>
            <c:numRef>
              <c:f>m!$CP$149:$DT$149</c:f>
              <c:numCache>
                <c:formatCode>General</c:formatCode>
                <c:ptCount val="31"/>
                <c:pt idx="0">
                  <c:v>12.767024772925922</c:v>
                </c:pt>
                <c:pt idx="1">
                  <c:v>12.837903724254943</c:v>
                </c:pt>
                <c:pt idx="2">
                  <c:v>12.682924942473415</c:v>
                </c:pt>
                <c:pt idx="3">
                  <c:v>12.999709460597904</c:v>
                </c:pt>
                <c:pt idx="4">
                  <c:v>12.974121239459095</c:v>
                </c:pt>
                <c:pt idx="5">
                  <c:v>12.981563448569288</c:v>
                </c:pt>
                <c:pt idx="6">
                  <c:v>13.094094393985019</c:v>
                </c:pt>
                <c:pt idx="7">
                  <c:v>13.410900364691274</c:v>
                </c:pt>
                <c:pt idx="8">
                  <c:v>13.536770358769301</c:v>
                </c:pt>
                <c:pt idx="9">
                  <c:v>13.428230827247411</c:v>
                </c:pt>
                <c:pt idx="10">
                  <c:v>13.762481807747751</c:v>
                </c:pt>
                <c:pt idx="11">
                  <c:v>13.949833526985993</c:v>
                </c:pt>
                <c:pt idx="12">
                  <c:v>14.625945389691916</c:v>
                </c:pt>
                <c:pt idx="14">
                  <c:v>14.537961998880871</c:v>
                </c:pt>
                <c:pt idx="15">
                  <c:v>12.439997448872333</c:v>
                </c:pt>
                <c:pt idx="18">
                  <c:v>13.983526920698761</c:v>
                </c:pt>
                <c:pt idx="19">
                  <c:v>14.543655933137034</c:v>
                </c:pt>
                <c:pt idx="20">
                  <c:v>14.738529879293839</c:v>
                </c:pt>
                <c:pt idx="21">
                  <c:v>15.711601966623467</c:v>
                </c:pt>
                <c:pt idx="22">
                  <c:v>16.214175321094597</c:v>
                </c:pt>
                <c:pt idx="23">
                  <c:v>12.298677849811305</c:v>
                </c:pt>
                <c:pt idx="24">
                  <c:v>12.81493660974539</c:v>
                </c:pt>
                <c:pt idx="25">
                  <c:v>12.64372291657533</c:v>
                </c:pt>
                <c:pt idx="26">
                  <c:v>13.172039326499762</c:v>
                </c:pt>
                <c:pt idx="27">
                  <c:v>12.84916058597984</c:v>
                </c:pt>
                <c:pt idx="28">
                  <c:v>11.837475052884351</c:v>
                </c:pt>
                <c:pt idx="29">
                  <c:v>12.811242497577851</c:v>
                </c:pt>
              </c:numCache>
            </c:numRef>
          </c:yVal>
          <c:smooth val="0"/>
          <c:extLst>
            <c:ext xmlns:c16="http://schemas.microsoft.com/office/drawing/2014/chart" uri="{C3380CC4-5D6E-409C-BE32-E72D297353CC}">
              <c16:uniqueId val="{00000003-1D51-4C31-986A-161781786AFC}"/>
            </c:ext>
          </c:extLst>
        </c:ser>
        <c:ser>
          <c:idx val="22"/>
          <c:order val="22"/>
          <c:tx>
            <c:v>F105, IL, Pipe 3 Smooth</c:v>
          </c:tx>
          <c:spPr>
            <a:ln w="25400" cap="rnd">
              <a:noFill/>
              <a:round/>
            </a:ln>
            <a:effectLst/>
          </c:spPr>
          <c:marker>
            <c:symbol val="square"/>
            <c:size val="6"/>
            <c:spPr>
              <a:noFill/>
              <a:ln w="9525">
                <a:solidFill>
                  <a:schemeClr val="accent2"/>
                </a:solidFill>
              </a:ln>
              <a:effectLst/>
            </c:spPr>
          </c:marker>
          <c:xVal>
            <c:numRef>
              <c:f>m!$DU$86:$DX$86</c:f>
              <c:numCache>
                <c:formatCode>General</c:formatCode>
                <c:ptCount val="4"/>
                <c:pt idx="1">
                  <c:v>3.8469075681895233</c:v>
                </c:pt>
              </c:numCache>
            </c:numRef>
          </c:xVal>
          <c:yVal>
            <c:numRef>
              <c:f>m!$DU$149:$DX$149</c:f>
              <c:numCache>
                <c:formatCode>General</c:formatCode>
                <c:ptCount val="4"/>
                <c:pt idx="1">
                  <c:v>14.851322094039464</c:v>
                </c:pt>
              </c:numCache>
            </c:numRef>
          </c:yVal>
          <c:smooth val="0"/>
          <c:extLst>
            <c:ext xmlns:c16="http://schemas.microsoft.com/office/drawing/2014/chart" uri="{C3380CC4-5D6E-409C-BE32-E72D297353CC}">
              <c16:uniqueId val="{00000004-1D51-4C31-986A-161781786AFC}"/>
            </c:ext>
          </c:extLst>
        </c:ser>
        <c:ser>
          <c:idx val="23"/>
          <c:order val="23"/>
          <c:tx>
            <c:v>F105, IL, Pipe 3 Rough</c:v>
          </c:tx>
          <c:spPr>
            <a:ln w="25400" cap="rnd">
              <a:noFill/>
              <a:round/>
            </a:ln>
            <a:effectLst/>
          </c:spPr>
          <c:marker>
            <c:symbol val="square"/>
            <c:size val="6"/>
            <c:spPr>
              <a:noFill/>
              <a:ln w="9525">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m!$DY$149:$EL$149</c:f>
              <c:numCache>
                <c:formatCode>General</c:formatCode>
                <c:ptCount val="14"/>
                <c:pt idx="0">
                  <c:v>11.346499816806629</c:v>
                </c:pt>
                <c:pt idx="1">
                  <c:v>14.889280035267333</c:v>
                </c:pt>
                <c:pt idx="2">
                  <c:v>15.520937617494937</c:v>
                </c:pt>
                <c:pt idx="3">
                  <c:v>16.219996991808252</c:v>
                </c:pt>
                <c:pt idx="4">
                  <c:v>16.361293558794113</c:v>
                </c:pt>
                <c:pt idx="5">
                  <c:v>16.842984578536548</c:v>
                </c:pt>
                <c:pt idx="6">
                  <c:v>17.119942498366584</c:v>
                </c:pt>
                <c:pt idx="7">
                  <c:v>17.289079061088838</c:v>
                </c:pt>
                <c:pt idx="8">
                  <c:v>16.688297900055971</c:v>
                </c:pt>
                <c:pt idx="10">
                  <c:v>17.463048135058564</c:v>
                </c:pt>
                <c:pt idx="11">
                  <c:v>17.845372863615935</c:v>
                </c:pt>
                <c:pt idx="13">
                  <c:v>16.745719819325281</c:v>
                </c:pt>
              </c:numCache>
            </c:numRef>
          </c:yVal>
          <c:smooth val="0"/>
          <c:extLst>
            <c:ext xmlns:c16="http://schemas.microsoft.com/office/drawing/2014/chart" uri="{C3380CC4-5D6E-409C-BE32-E72D297353CC}">
              <c16:uniqueId val="{00000005-1D51-4C31-986A-161781786AFC}"/>
            </c:ext>
          </c:extLst>
        </c:ser>
        <c:dLbls>
          <c:showLegendKey val="0"/>
          <c:showVal val="0"/>
          <c:showCatName val="0"/>
          <c:showSerName val="0"/>
          <c:showPercent val="0"/>
          <c:showBubbleSize val="0"/>
        </c:dLbls>
        <c:axId val="624399680"/>
        <c:axId val="624400008"/>
        <c:extLst/>
      </c:scatterChart>
      <c:valAx>
        <c:axId val="624399680"/>
        <c:scaling>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Normalized Span Length, L̃ = L/L</a:t>
                </a:r>
                <a:r>
                  <a:rPr lang="en-US" sz="1800" baseline="-25000">
                    <a:effectLst/>
                  </a:rPr>
                  <a:t>st</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baseline="0">
                    <a:effectLst/>
                  </a:rPr>
                  <a:t>Normalized Fatigue-Equivalent Strain Amplitude,   ϵ̃</a:t>
                </a:r>
                <a:r>
                  <a:rPr lang="en-US" sz="1400" b="0" i="0" baseline="-25000">
                    <a:effectLst/>
                  </a:rPr>
                  <a:t>e</a:t>
                </a:r>
                <a:r>
                  <a:rPr lang="en-US" sz="1400" b="0" i="0" baseline="0">
                    <a:effectLst/>
                  </a:rPr>
                  <a:t> = ϵ</a:t>
                </a:r>
                <a:r>
                  <a:rPr lang="en-US" sz="1400" b="0" i="0" baseline="-25000">
                    <a:effectLst/>
                  </a:rPr>
                  <a:t>e</a:t>
                </a:r>
                <a:r>
                  <a:rPr lang="en-US" sz="1400" b="0" i="0" baseline="0">
                    <a:effectLst/>
                  </a:rPr>
                  <a:t>/(R</a:t>
                </a:r>
                <a:r>
                  <a:rPr lang="en-US" sz="1400" b="0" i="0" baseline="-25000">
                    <a:effectLst/>
                  </a:rPr>
                  <a:t>ϵ</a:t>
                </a:r>
                <a:r>
                  <a:rPr lang="en-US" sz="1400" b="0" i="0" baseline="0">
                    <a:effectLst/>
                  </a:rPr>
                  <a:t>D/L</a:t>
                </a:r>
                <a:r>
                  <a:rPr lang="en-US" sz="1400" b="0" i="0" baseline="-25000">
                    <a:effectLst/>
                  </a:rPr>
                  <a:t>st</a:t>
                </a:r>
                <a:r>
                  <a:rPr lang="en-US" sz="1400" b="0" i="0" baseline="30000">
                    <a:effectLst/>
                  </a:rPr>
                  <a:t>2</a:t>
                </a:r>
                <a:r>
                  <a:rPr lang="en-US" sz="1400" b="0" i="0" baseline="0">
                    <a:effectLst/>
                  </a:rPr>
                  <a:t>)</a:t>
                </a:r>
                <a:endParaRPr lang="en-US" sz="1400">
                  <a:effectLst/>
                </a:endParaRPr>
              </a:p>
            </c:rich>
          </c:tx>
          <c:layout>
            <c:manualLayout>
              <c:xMode val="edge"/>
              <c:yMode val="edge"/>
              <c:x val="1.2786980528916013E-2"/>
              <c:y val="5.1139526362623478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2.3329071045606473E-2"/>
          <c:w val="0.19814292412112927"/>
          <c:h val="0.91289588801399824"/>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1741397517297"/>
          <c:y val="2.4349477682811017E-2"/>
          <c:w val="0.65859161594783955"/>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extLst xmlns:c15="http://schemas.microsoft.com/office/drawing/2012/chart"/>
            </c:numRef>
          </c:xVal>
          <c:yVal>
            <c:numRef>
              <c:f>m!$AF$150:$AO$150</c:f>
              <c:numCache>
                <c:formatCode>General</c:formatCode>
                <c:ptCount val="10"/>
                <c:pt idx="6">
                  <c:v>0.97905277063444995</c:v>
                </c:pt>
                <c:pt idx="7">
                  <c:v>0.98912473972222004</c:v>
                </c:pt>
                <c:pt idx="8">
                  <c:v>0.80621205276431562</c:v>
                </c:pt>
                <c:pt idx="9">
                  <c:v>0.62763328772271398</c:v>
                </c:pt>
              </c:numCache>
            </c:numRef>
          </c:yVal>
          <c:smooth val="0"/>
          <c:extLst xmlns:c15="http://schemas.microsoft.com/office/drawing/2012/chart">
            <c:ext xmlns:c16="http://schemas.microsoft.com/office/drawing/2014/chart" uri="{C3380CC4-5D6E-409C-BE32-E72D297353CC}">
              <c16:uniqueId val="{00000000-4E3B-492E-929A-CC73C2F6EDA5}"/>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extLst xmlns:c15="http://schemas.microsoft.com/office/drawing/2012/chart"/>
            </c:numRef>
          </c:xVal>
          <c:yVal>
            <c:numRef>
              <c:f>m!$AP$150:$BL$150</c:f>
              <c:numCache>
                <c:formatCode>General</c:formatCode>
                <c:ptCount val="23"/>
                <c:pt idx="0">
                  <c:v>0.87631783734472901</c:v>
                </c:pt>
                <c:pt idx="1">
                  <c:v>0.80560945574392395</c:v>
                </c:pt>
                <c:pt idx="2">
                  <c:v>0.64814550605231636</c:v>
                </c:pt>
                <c:pt idx="3">
                  <c:v>0.67524874836408133</c:v>
                </c:pt>
                <c:pt idx="4">
                  <c:v>0.78848727296825472</c:v>
                </c:pt>
                <c:pt idx="6">
                  <c:v>0.49958403749002128</c:v>
                </c:pt>
                <c:pt idx="12">
                  <c:v>0.51000192077064554</c:v>
                </c:pt>
                <c:pt idx="19">
                  <c:v>0.99727204166249694</c:v>
                </c:pt>
                <c:pt idx="20">
                  <c:v>0.76217070013545218</c:v>
                </c:pt>
                <c:pt idx="21">
                  <c:v>0.86760675019815048</c:v>
                </c:pt>
              </c:numCache>
            </c:numRef>
          </c:yVal>
          <c:smooth val="0"/>
          <c:extLst xmlns:c15="http://schemas.microsoft.com/office/drawing/2012/chart">
            <c:ext xmlns:c16="http://schemas.microsoft.com/office/drawing/2014/chart" uri="{C3380CC4-5D6E-409C-BE32-E72D297353CC}">
              <c16:uniqueId val="{00000001-4E3B-492E-929A-CC73C2F6EDA5}"/>
            </c:ext>
          </c:extLst>
        </c:ser>
        <c:ser>
          <c:idx val="11"/>
          <c:order val="2"/>
          <c:tx>
            <c:v>CF, Pipe 1</c:v>
          </c:tx>
          <c:spPr>
            <a:ln w="25400" cap="rnd">
              <a:noFill/>
              <a:round/>
            </a:ln>
            <a:effectLst/>
          </c:spPr>
          <c:marker>
            <c:symbol val="x"/>
            <c:size val="7"/>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extLst xmlns:c15="http://schemas.microsoft.com/office/drawing/2012/chart"/>
            </c:numRef>
          </c:xVal>
          <c:yVal>
            <c:numRef>
              <c:f>m!$BM$150:$CO$150</c:f>
              <c:numCache>
                <c:formatCode>General</c:formatCode>
                <c:ptCount val="29"/>
                <c:pt idx="0">
                  <c:v>0.77422116917263983</c:v>
                </c:pt>
                <c:pt idx="1">
                  <c:v>0.59016632361904486</c:v>
                </c:pt>
                <c:pt idx="3">
                  <c:v>0.85743934986793546</c:v>
                </c:pt>
                <c:pt idx="4">
                  <c:v>1.0204810456648608</c:v>
                </c:pt>
                <c:pt idx="5">
                  <c:v>0.70201893776694624</c:v>
                </c:pt>
                <c:pt idx="6">
                  <c:v>0.69179569652280615</c:v>
                </c:pt>
                <c:pt idx="7">
                  <c:v>0.76717020493220645</c:v>
                </c:pt>
                <c:pt idx="8">
                  <c:v>0.62866901464525393</c:v>
                </c:pt>
                <c:pt idx="9">
                  <c:v>0.61639752738269349</c:v>
                </c:pt>
                <c:pt idx="10">
                  <c:v>0.49254893745788653</c:v>
                </c:pt>
                <c:pt idx="11">
                  <c:v>0.49546119845519082</c:v>
                </c:pt>
                <c:pt idx="12">
                  <c:v>0.47067458356907066</c:v>
                </c:pt>
                <c:pt idx="13">
                  <c:v>0.80807329886059032</c:v>
                </c:pt>
                <c:pt idx="14">
                  <c:v>0.64823458561971681</c:v>
                </c:pt>
                <c:pt idx="15">
                  <c:v>0.6231493981995343</c:v>
                </c:pt>
                <c:pt idx="16">
                  <c:v>0.44479715590343433</c:v>
                </c:pt>
                <c:pt idx="17">
                  <c:v>0.440958344704724</c:v>
                </c:pt>
                <c:pt idx="18">
                  <c:v>0.36886683147788096</c:v>
                </c:pt>
                <c:pt idx="19">
                  <c:v>0.35846785718577073</c:v>
                </c:pt>
              </c:numCache>
            </c:numRef>
          </c:yVal>
          <c:smooth val="0"/>
          <c:extLst xmlns:c15="http://schemas.microsoft.com/office/drawing/2012/chart">
            <c:ext xmlns:c16="http://schemas.microsoft.com/office/drawing/2014/chart" uri="{C3380CC4-5D6E-409C-BE32-E72D297353CC}">
              <c16:uniqueId val="{00000002-4E3B-492E-929A-CC73C2F6EDA5}"/>
            </c:ext>
          </c:extLst>
        </c:ser>
        <c:ser>
          <c:idx val="13"/>
          <c:order val="3"/>
          <c:tx>
            <c:v>CF, Pipe 2</c:v>
          </c:tx>
          <c:spPr>
            <a:ln w="25400" cap="rnd">
              <a:noFill/>
              <a:round/>
            </a:ln>
            <a:effectLst/>
          </c:spPr>
          <c:marker>
            <c:symbol val="x"/>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extLst xmlns:c15="http://schemas.microsoft.com/office/drawing/2012/chart"/>
            </c:numRef>
          </c:xVal>
          <c:yVal>
            <c:numRef>
              <c:f>m!$CP$150:$DT$150</c:f>
              <c:numCache>
                <c:formatCode>General</c:formatCode>
                <c:ptCount val="31"/>
                <c:pt idx="0">
                  <c:v>0.83467375971461999</c:v>
                </c:pt>
                <c:pt idx="1">
                  <c:v>0.85990146022435099</c:v>
                </c:pt>
                <c:pt idx="2">
                  <c:v>0.74574384205898769</c:v>
                </c:pt>
                <c:pt idx="3">
                  <c:v>0.84415369866484224</c:v>
                </c:pt>
                <c:pt idx="4">
                  <c:v>0.668709790275961</c:v>
                </c:pt>
                <c:pt idx="5">
                  <c:v>0.74409101804484246</c:v>
                </c:pt>
                <c:pt idx="6">
                  <c:v>0.56674936368566575</c:v>
                </c:pt>
                <c:pt idx="7">
                  <c:v>0.71126587016713649</c:v>
                </c:pt>
                <c:pt idx="8">
                  <c:v>0.79813258729547776</c:v>
                </c:pt>
                <c:pt idx="9">
                  <c:v>0.58983663695668875</c:v>
                </c:pt>
                <c:pt idx="10">
                  <c:v>0.61516686568203693</c:v>
                </c:pt>
                <c:pt idx="11">
                  <c:v>0.60921594574688642</c:v>
                </c:pt>
                <c:pt idx="12">
                  <c:v>0.71778487227991616</c:v>
                </c:pt>
                <c:pt idx="14">
                  <c:v>0.5172107623462574</c:v>
                </c:pt>
                <c:pt idx="15">
                  <c:v>1.0854938601918953</c:v>
                </c:pt>
                <c:pt idx="18">
                  <c:v>0.60059140925656029</c:v>
                </c:pt>
                <c:pt idx="19">
                  <c:v>0.65025305431331359</c:v>
                </c:pt>
                <c:pt idx="20">
                  <c:v>0.55624621124346307</c:v>
                </c:pt>
                <c:pt idx="21">
                  <c:v>0.536338314914243</c:v>
                </c:pt>
                <c:pt idx="22">
                  <c:v>0.47390892172562593</c:v>
                </c:pt>
                <c:pt idx="23">
                  <c:v>1.3523281756733823</c:v>
                </c:pt>
                <c:pt idx="24">
                  <c:v>1.1165296201436006</c:v>
                </c:pt>
                <c:pt idx="25">
                  <c:v>1.5071289959058392</c:v>
                </c:pt>
                <c:pt idx="26">
                  <c:v>1.2735797509229954</c:v>
                </c:pt>
                <c:pt idx="27">
                  <c:v>1.1990876115460005</c:v>
                </c:pt>
                <c:pt idx="28">
                  <c:v>0.50439098332901788</c:v>
                </c:pt>
                <c:pt idx="29">
                  <c:v>0.49883970547904938</c:v>
                </c:pt>
              </c:numCache>
            </c:numRef>
          </c:yVal>
          <c:smooth val="0"/>
          <c:extLst xmlns:c15="http://schemas.microsoft.com/office/drawing/2012/chart">
            <c:ext xmlns:c16="http://schemas.microsoft.com/office/drawing/2014/chart" uri="{C3380CC4-5D6E-409C-BE32-E72D297353CC}">
              <c16:uniqueId val="{00000003-4E3B-492E-929A-CC73C2F6EDA5}"/>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m!$DU$86:$DX$86</c:f>
              <c:numCache>
                <c:formatCode>General</c:formatCode>
                <c:ptCount val="4"/>
                <c:pt idx="1">
                  <c:v>3.8469075681895233</c:v>
                </c:pt>
              </c:numCache>
              <c:extLst xmlns:c15="http://schemas.microsoft.com/office/drawing/2012/chart"/>
            </c:numRef>
          </c:xVal>
          <c:yVal>
            <c:numRef>
              <c:f>m!$DU$150:$DX$150</c:f>
              <c:numCache>
                <c:formatCode>General</c:formatCode>
                <c:ptCount val="4"/>
                <c:pt idx="1">
                  <c:v>1.6793268537194352</c:v>
                </c:pt>
              </c:numCache>
            </c:numRef>
          </c:yVal>
          <c:smooth val="0"/>
          <c:extLst xmlns:c15="http://schemas.microsoft.com/office/drawing/2012/chart">
            <c:ext xmlns:c16="http://schemas.microsoft.com/office/drawing/2014/chart" uri="{C3380CC4-5D6E-409C-BE32-E72D297353CC}">
              <c16:uniqueId val="{00000004-4E3B-492E-929A-CC73C2F6EDA5}"/>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m!$DY$150:$EL$150</c:f>
              <c:numCache>
                <c:formatCode>General</c:formatCode>
                <c:ptCount val="14"/>
                <c:pt idx="0">
                  <c:v>2.4759880626512967</c:v>
                </c:pt>
                <c:pt idx="1">
                  <c:v>1.4716427276153925</c:v>
                </c:pt>
                <c:pt idx="2">
                  <c:v>1.2824626399735555</c:v>
                </c:pt>
                <c:pt idx="3">
                  <c:v>1.5696165202822037</c:v>
                </c:pt>
                <c:pt idx="4">
                  <c:v>1.1129233443068218</c:v>
                </c:pt>
                <c:pt idx="5">
                  <c:v>1.4339329936858325</c:v>
                </c:pt>
                <c:pt idx="6">
                  <c:v>1.2549274258919521</c:v>
                </c:pt>
                <c:pt idx="7">
                  <c:v>0.93716892640857163</c:v>
                </c:pt>
                <c:pt idx="8">
                  <c:v>1.2136776351277596</c:v>
                </c:pt>
                <c:pt idx="10">
                  <c:v>0.87372941125722092</c:v>
                </c:pt>
                <c:pt idx="11">
                  <c:v>0.95593970530718486</c:v>
                </c:pt>
                <c:pt idx="13">
                  <c:v>0.8860490955464787</c:v>
                </c:pt>
              </c:numCache>
            </c:numRef>
          </c:yVal>
          <c:smooth val="0"/>
          <c:extLst xmlns:c15="http://schemas.microsoft.com/office/drawing/2012/chart">
            <c:ext xmlns:c16="http://schemas.microsoft.com/office/drawing/2014/chart" uri="{C3380CC4-5D6E-409C-BE32-E72D297353CC}">
              <c16:uniqueId val="{00000005-4E3B-492E-929A-CC73C2F6EDA5}"/>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numRef>
          </c:xVal>
          <c:yVal>
            <c:numRef>
              <c:f>m!$AF$151:$AO$151</c:f>
              <c:numCache>
                <c:formatCode>General</c:formatCode>
                <c:ptCount val="10"/>
                <c:pt idx="6">
                  <c:v>0.96051020616855509</c:v>
                </c:pt>
                <c:pt idx="7">
                  <c:v>0.89328692887640948</c:v>
                </c:pt>
                <c:pt idx="8">
                  <c:v>0.73730348938910895</c:v>
                </c:pt>
                <c:pt idx="9">
                  <c:v>0.75807669824813051</c:v>
                </c:pt>
              </c:numCache>
            </c:numRef>
          </c:yVal>
          <c:smooth val="0"/>
          <c:extLst>
            <c:ext xmlns:c16="http://schemas.microsoft.com/office/drawing/2014/chart" uri="{C3380CC4-5D6E-409C-BE32-E72D297353CC}">
              <c16:uniqueId val="{00000006-4E3B-492E-929A-CC73C2F6EDA5}"/>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f>m!$AP$151:$BL$151</c:f>
              <c:numCache>
                <c:formatCode>General</c:formatCode>
                <c:ptCount val="23"/>
                <c:pt idx="0">
                  <c:v>0.73141561176094505</c:v>
                </c:pt>
                <c:pt idx="1">
                  <c:v>0.71788470523545922</c:v>
                </c:pt>
                <c:pt idx="2">
                  <c:v>0.43239287968539247</c:v>
                </c:pt>
                <c:pt idx="3">
                  <c:v>0.45159130287372207</c:v>
                </c:pt>
                <c:pt idx="4">
                  <c:v>0.43929444743915902</c:v>
                </c:pt>
                <c:pt idx="6">
                  <c:v>0.42534901457962176</c:v>
                </c:pt>
                <c:pt idx="12">
                  <c:v>0.34550076794657769</c:v>
                </c:pt>
                <c:pt idx="19">
                  <c:v>0.65575898142215971</c:v>
                </c:pt>
                <c:pt idx="20">
                  <c:v>0.53004806572495888</c:v>
                </c:pt>
                <c:pt idx="21">
                  <c:v>0.72870206316578423</c:v>
                </c:pt>
              </c:numCache>
            </c:numRef>
          </c:yVal>
          <c:smooth val="0"/>
          <c:extLst>
            <c:ext xmlns:c16="http://schemas.microsoft.com/office/drawing/2014/chart" uri="{C3380CC4-5D6E-409C-BE32-E72D297353CC}">
              <c16:uniqueId val="{00000007-4E3B-492E-929A-CC73C2F6EDA5}"/>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numRef>
          </c:xVal>
          <c:yVal>
            <c:numRef>
              <c:f>m!$BM$151:$CO$151</c:f>
              <c:numCache>
                <c:formatCode>General</c:formatCode>
                <c:ptCount val="29"/>
                <c:pt idx="0">
                  <c:v>0.43307332350558148</c:v>
                </c:pt>
                <c:pt idx="1">
                  <c:v>0.44421974964248201</c:v>
                </c:pt>
                <c:pt idx="3">
                  <c:v>0.41572502886830015</c:v>
                </c:pt>
                <c:pt idx="4">
                  <c:v>0.60238023629119408</c:v>
                </c:pt>
                <c:pt idx="5">
                  <c:v>0.38908689075377334</c:v>
                </c:pt>
                <c:pt idx="6">
                  <c:v>0.40982788562323119</c:v>
                </c:pt>
                <c:pt idx="7">
                  <c:v>0.52810729847649296</c:v>
                </c:pt>
                <c:pt idx="8">
                  <c:v>0.4249537008942611</c:v>
                </c:pt>
                <c:pt idx="9">
                  <c:v>0.39085141873462864</c:v>
                </c:pt>
                <c:pt idx="10">
                  <c:v>0.34366598852170394</c:v>
                </c:pt>
                <c:pt idx="11">
                  <c:v>0.32875513550559582</c:v>
                </c:pt>
                <c:pt idx="12">
                  <c:v>0.33973462870752885</c:v>
                </c:pt>
                <c:pt idx="13">
                  <c:v>0.39178446550936857</c:v>
                </c:pt>
                <c:pt idx="14">
                  <c:v>0.44725826489042203</c:v>
                </c:pt>
                <c:pt idx="15">
                  <c:v>0.3778940840763097</c:v>
                </c:pt>
                <c:pt idx="16">
                  <c:v>0.35990061060215056</c:v>
                </c:pt>
                <c:pt idx="17">
                  <c:v>0.31649799753295565</c:v>
                </c:pt>
                <c:pt idx="18">
                  <c:v>0.29955112419994862</c:v>
                </c:pt>
                <c:pt idx="19">
                  <c:v>0.27286846231286266</c:v>
                </c:pt>
              </c:numCache>
            </c:numRef>
          </c:yVal>
          <c:smooth val="0"/>
          <c:extLst>
            <c:ext xmlns:c16="http://schemas.microsoft.com/office/drawing/2014/chart" uri="{C3380CC4-5D6E-409C-BE32-E72D297353CC}">
              <c16:uniqueId val="{00000008-4E3B-492E-929A-CC73C2F6EDA5}"/>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numRef>
          </c:xVal>
          <c:yVal>
            <c:numRef>
              <c:f>m!$CP$151:$DT$151</c:f>
              <c:numCache>
                <c:formatCode>General</c:formatCode>
                <c:ptCount val="31"/>
                <c:pt idx="0">
                  <c:v>0.51891346367884195</c:v>
                </c:pt>
                <c:pt idx="1">
                  <c:v>0.46306060032388846</c:v>
                </c:pt>
                <c:pt idx="2">
                  <c:v>0.34526968994641333</c:v>
                </c:pt>
                <c:pt idx="3">
                  <c:v>0.54013495307668713</c:v>
                </c:pt>
                <c:pt idx="4">
                  <c:v>0.42213600251593747</c:v>
                </c:pt>
                <c:pt idx="5">
                  <c:v>0.37608765022695956</c:v>
                </c:pt>
                <c:pt idx="6">
                  <c:v>0.34116363362407875</c:v>
                </c:pt>
                <c:pt idx="7">
                  <c:v>0.48743571974594485</c:v>
                </c:pt>
                <c:pt idx="8">
                  <c:v>0.58795761461396057</c:v>
                </c:pt>
                <c:pt idx="9">
                  <c:v>0.40867685095213618</c:v>
                </c:pt>
                <c:pt idx="10">
                  <c:v>0.47249463407075748</c:v>
                </c:pt>
                <c:pt idx="11">
                  <c:v>0.45375798698388359</c:v>
                </c:pt>
                <c:pt idx="12">
                  <c:v>0.42399483797487281</c:v>
                </c:pt>
                <c:pt idx="14">
                  <c:v>0.36107275058343469</c:v>
                </c:pt>
                <c:pt idx="15">
                  <c:v>0.50811105689865776</c:v>
                </c:pt>
                <c:pt idx="18">
                  <c:v>0.46389082099154305</c:v>
                </c:pt>
                <c:pt idx="19">
                  <c:v>0.40069844265750926</c:v>
                </c:pt>
                <c:pt idx="20">
                  <c:v>0.47944499133554747</c:v>
                </c:pt>
                <c:pt idx="21">
                  <c:v>0.37951966649310409</c:v>
                </c:pt>
                <c:pt idx="22">
                  <c:v>0.34060846554689989</c:v>
                </c:pt>
                <c:pt idx="23">
                  <c:v>0.78886449621238175</c:v>
                </c:pt>
                <c:pt idx="24">
                  <c:v>0.59347651951049629</c:v>
                </c:pt>
                <c:pt idx="25">
                  <c:v>0.59780290129310854</c:v>
                </c:pt>
                <c:pt idx="26">
                  <c:v>0.52707866116379332</c:v>
                </c:pt>
                <c:pt idx="27">
                  <c:v>0.49851693000799374</c:v>
                </c:pt>
                <c:pt idx="28">
                  <c:v>0.5034501789689475</c:v>
                </c:pt>
                <c:pt idx="29">
                  <c:v>0.4576060337763907</c:v>
                </c:pt>
              </c:numCache>
            </c:numRef>
          </c:yVal>
          <c:smooth val="0"/>
          <c:extLst>
            <c:ext xmlns:c16="http://schemas.microsoft.com/office/drawing/2014/chart" uri="{C3380CC4-5D6E-409C-BE32-E72D297353CC}">
              <c16:uniqueId val="{00000009-4E3B-492E-929A-CC73C2F6EDA5}"/>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m!$DU$86:$DX$86</c:f>
              <c:numCache>
                <c:formatCode>General</c:formatCode>
                <c:ptCount val="4"/>
                <c:pt idx="1">
                  <c:v>3.8469075681895233</c:v>
                </c:pt>
              </c:numCache>
            </c:numRef>
          </c:xVal>
          <c:yVal>
            <c:numRef>
              <c:f>m!$DU$151:$DX$151</c:f>
              <c:numCache>
                <c:formatCode>General</c:formatCode>
                <c:ptCount val="4"/>
                <c:pt idx="1">
                  <c:v>0.57798122221514148</c:v>
                </c:pt>
              </c:numCache>
            </c:numRef>
          </c:yVal>
          <c:smooth val="0"/>
          <c:extLst>
            <c:ext xmlns:c16="http://schemas.microsoft.com/office/drawing/2014/chart" uri="{C3380CC4-5D6E-409C-BE32-E72D297353CC}">
              <c16:uniqueId val="{0000000A-4E3B-492E-929A-CC73C2F6EDA5}"/>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m!$DY$151:$EL$151</c:f>
              <c:numCache>
                <c:formatCode>General</c:formatCode>
                <c:ptCount val="14"/>
                <c:pt idx="0">
                  <c:v>0.71155810687714749</c:v>
                </c:pt>
                <c:pt idx="1">
                  <c:v>0.57573774264219468</c:v>
                </c:pt>
                <c:pt idx="2">
                  <c:v>0.60362793982400553</c:v>
                </c:pt>
                <c:pt idx="3">
                  <c:v>0.72803008306460459</c:v>
                </c:pt>
                <c:pt idx="4">
                  <c:v>0.56858178939027959</c:v>
                </c:pt>
                <c:pt idx="5">
                  <c:v>0.52489485474071218</c:v>
                </c:pt>
                <c:pt idx="6">
                  <c:v>0.55372673272934791</c:v>
                </c:pt>
                <c:pt idx="7">
                  <c:v>0.45475277126562902</c:v>
                </c:pt>
                <c:pt idx="8">
                  <c:v>0.57630869242039706</c:v>
                </c:pt>
                <c:pt idx="10">
                  <c:v>0.42489299305482314</c:v>
                </c:pt>
                <c:pt idx="11">
                  <c:v>0.44299147981304643</c:v>
                </c:pt>
                <c:pt idx="13">
                  <c:v>0.43910162876115499</c:v>
                </c:pt>
              </c:numCache>
            </c:numRef>
          </c:yVal>
          <c:smooth val="0"/>
          <c:extLst>
            <c:ext xmlns:c16="http://schemas.microsoft.com/office/drawing/2014/chart" uri="{C3380CC4-5D6E-409C-BE32-E72D297353CC}">
              <c16:uniqueId val="{0000000B-4E3B-492E-929A-CC73C2F6EDA5}"/>
            </c:ext>
          </c:extLst>
        </c:ser>
        <c:dLbls>
          <c:showLegendKey val="0"/>
          <c:showVal val="0"/>
          <c:showCatName val="0"/>
          <c:showSerName val="0"/>
          <c:showPercent val="0"/>
          <c:showBubbleSize val="0"/>
        </c:dLbls>
        <c:axId val="624399680"/>
        <c:axId val="624400008"/>
        <c:extLst/>
      </c:scatterChart>
      <c:valAx>
        <c:axId val="624399680"/>
        <c:scaling>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Normalized Span Length, L̃ = L/L</a:t>
                </a:r>
                <a:r>
                  <a:rPr lang="en-US" sz="1800" baseline="-25000">
                    <a:effectLst/>
                  </a:rPr>
                  <a:t>st</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Ratio Test/F105 Prediction for </a:t>
                </a:r>
              </a:p>
              <a:p>
                <a:pPr>
                  <a:defRPr/>
                </a:pPr>
                <a:r>
                  <a:rPr lang="en-US" sz="1400" b="0" i="0" u="none" strike="noStrike" baseline="0">
                    <a:effectLst/>
                  </a:rPr>
                  <a:t>Fatigue Equivalent Strain Amplitude, ϵ</a:t>
                </a:r>
                <a:r>
                  <a:rPr lang="en-US" sz="1400" b="0" i="0" u="none" strike="noStrike" baseline="-25000">
                    <a:effectLst/>
                  </a:rPr>
                  <a:t>e</a:t>
                </a:r>
                <a:endParaRPr lang="en-US" sz="1400">
                  <a:effectLst/>
                </a:endParaRPr>
              </a:p>
            </c:rich>
          </c:tx>
          <c:layout>
            <c:manualLayout>
              <c:xMode val="edge"/>
              <c:yMode val="edge"/>
              <c:x val="1.278701598026457E-2"/>
              <c:y val="0.19548900404543448"/>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366682879164323E-2"/>
          <c:y val="1.4852801519468186E-2"/>
          <c:w val="0.6763990728204049"/>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extLst xmlns:c15="http://schemas.microsoft.com/office/drawing/2012/chart"/>
            </c:numRef>
          </c:xVal>
          <c:yVal>
            <c:numRef>
              <c:f>m!$AF$79:$AO$79</c:f>
              <c:numCache>
                <c:formatCode>General</c:formatCode>
                <c:ptCount val="10"/>
                <c:pt idx="6">
                  <c:v>0.86856550087254003</c:v>
                </c:pt>
                <c:pt idx="7">
                  <c:v>0.93508346892075878</c:v>
                </c:pt>
                <c:pt idx="8">
                  <c:v>0.9926940380314474</c:v>
                </c:pt>
                <c:pt idx="9">
                  <c:v>1.0545479072544208</c:v>
                </c:pt>
              </c:numCache>
            </c:numRef>
          </c:yVal>
          <c:smooth val="0"/>
          <c:extLst xmlns:c15="http://schemas.microsoft.com/office/drawing/2012/chart">
            <c:ext xmlns:c16="http://schemas.microsoft.com/office/drawing/2014/chart" uri="{C3380CC4-5D6E-409C-BE32-E72D297353CC}">
              <c16:uniqueId val="{00000000-28F6-421A-A7EF-6D20AB147608}"/>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extLst xmlns:c15="http://schemas.microsoft.com/office/drawing/2012/chart"/>
            </c:numRef>
          </c:xVal>
          <c:yVal>
            <c:numRef>
              <c:f>m!$AP$79:$BL$79</c:f>
              <c:numCache>
                <c:formatCode>General</c:formatCode>
                <c:ptCount val="23"/>
                <c:pt idx="0">
                  <c:v>0.35670227841084173</c:v>
                </c:pt>
                <c:pt idx="1">
                  <c:v>0.49947762778981264</c:v>
                </c:pt>
                <c:pt idx="2">
                  <c:v>0.47609531742686972</c:v>
                </c:pt>
                <c:pt idx="3">
                  <c:v>0.60234823879092836</c:v>
                </c:pt>
                <c:pt idx="4">
                  <c:v>0.53763884374592197</c:v>
                </c:pt>
                <c:pt idx="6">
                  <c:v>0.89796146404832289</c:v>
                </c:pt>
                <c:pt idx="12">
                  <c:v>0.93987942308635231</c:v>
                </c:pt>
                <c:pt idx="19">
                  <c:v>0.87080391408489899</c:v>
                </c:pt>
                <c:pt idx="20">
                  <c:v>0.61478170250305575</c:v>
                </c:pt>
                <c:pt idx="21">
                  <c:v>0.5066564477483545</c:v>
                </c:pt>
              </c:numCache>
            </c:numRef>
          </c:yVal>
          <c:smooth val="0"/>
          <c:extLst xmlns:c15="http://schemas.microsoft.com/office/drawing/2012/chart">
            <c:ext xmlns:c16="http://schemas.microsoft.com/office/drawing/2014/chart" uri="{C3380CC4-5D6E-409C-BE32-E72D297353CC}">
              <c16:uniqueId val="{00000001-28F6-421A-A7EF-6D20AB147608}"/>
            </c:ext>
          </c:extLst>
        </c:ser>
        <c:ser>
          <c:idx val="11"/>
          <c:order val="2"/>
          <c:tx>
            <c:v>CF, Pipe 1</c:v>
          </c:tx>
          <c:spPr>
            <a:ln w="25400" cap="rnd">
              <a:noFill/>
              <a:round/>
            </a:ln>
            <a:effectLst/>
          </c:spPr>
          <c:marker>
            <c:symbol val="x"/>
            <c:size val="7"/>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extLst xmlns:c15="http://schemas.microsoft.com/office/drawing/2012/chart"/>
            </c:numRef>
          </c:xVal>
          <c:yVal>
            <c:numRef>
              <c:f>m!$BM$79:$CO$79</c:f>
              <c:numCache>
                <c:formatCode>General</c:formatCode>
                <c:ptCount val="29"/>
                <c:pt idx="0">
                  <c:v>1.2874768583565166</c:v>
                </c:pt>
                <c:pt idx="1">
                  <c:v>1.6644392809072919</c:v>
                </c:pt>
                <c:pt idx="3">
                  <c:v>1.4664357970613873</c:v>
                </c:pt>
                <c:pt idx="4">
                  <c:v>1.3659737315969938</c:v>
                </c:pt>
                <c:pt idx="5">
                  <c:v>1.132273424027487</c:v>
                </c:pt>
                <c:pt idx="6">
                  <c:v>1.4958615313421968</c:v>
                </c:pt>
                <c:pt idx="7">
                  <c:v>1.6060593152231324</c:v>
                </c:pt>
                <c:pt idx="8">
                  <c:v>1.4702580778860368</c:v>
                </c:pt>
                <c:pt idx="9">
                  <c:v>1.488232789702437</c:v>
                </c:pt>
                <c:pt idx="10">
                  <c:v>1.5559052983069828</c:v>
                </c:pt>
                <c:pt idx="11">
                  <c:v>1.7885358382163943</c:v>
                </c:pt>
                <c:pt idx="12">
                  <c:v>1.5168696751154696</c:v>
                </c:pt>
                <c:pt idx="13">
                  <c:v>1.6299834831590405</c:v>
                </c:pt>
                <c:pt idx="14">
                  <c:v>1.4226178052379517</c:v>
                </c:pt>
                <c:pt idx="15">
                  <c:v>1.4322058853157473</c:v>
                </c:pt>
                <c:pt idx="16">
                  <c:v>1.7003751249255477</c:v>
                </c:pt>
                <c:pt idx="17">
                  <c:v>1.9934533343069918</c:v>
                </c:pt>
                <c:pt idx="18">
                  <c:v>2.0380893084801697</c:v>
                </c:pt>
                <c:pt idx="19">
                  <c:v>1.7979137008002555</c:v>
                </c:pt>
              </c:numCache>
            </c:numRef>
          </c:yVal>
          <c:smooth val="0"/>
          <c:extLst xmlns:c15="http://schemas.microsoft.com/office/drawing/2012/chart">
            <c:ext xmlns:c16="http://schemas.microsoft.com/office/drawing/2014/chart" uri="{C3380CC4-5D6E-409C-BE32-E72D297353CC}">
              <c16:uniqueId val="{00000002-28F6-421A-A7EF-6D20AB147608}"/>
            </c:ext>
          </c:extLst>
        </c:ser>
        <c:ser>
          <c:idx val="13"/>
          <c:order val="3"/>
          <c:tx>
            <c:v>CF, Pipe 2</c:v>
          </c:tx>
          <c:spPr>
            <a:ln w="25400" cap="rnd">
              <a:noFill/>
              <a:round/>
            </a:ln>
            <a:effectLst/>
          </c:spPr>
          <c:marker>
            <c:symbol val="x"/>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extLst xmlns:c15="http://schemas.microsoft.com/office/drawing/2012/chart"/>
            </c:numRef>
          </c:xVal>
          <c:yVal>
            <c:numRef>
              <c:f>m!$CP$79:$DT$79</c:f>
              <c:numCache>
                <c:formatCode>General</c:formatCode>
                <c:ptCount val="31"/>
                <c:pt idx="0">
                  <c:v>0.53124062448240916</c:v>
                </c:pt>
                <c:pt idx="1">
                  <c:v>0.51270719875982496</c:v>
                </c:pt>
                <c:pt idx="2">
                  <c:v>1.4045075033593315</c:v>
                </c:pt>
                <c:pt idx="3">
                  <c:v>1.5410621026713218</c:v>
                </c:pt>
                <c:pt idx="4">
                  <c:v>1.5859238234457227</c:v>
                </c:pt>
                <c:pt idx="5">
                  <c:v>1.3991887354141559</c:v>
                </c:pt>
                <c:pt idx="6">
                  <c:v>1.460139674498893</c:v>
                </c:pt>
                <c:pt idx="7">
                  <c:v>1.4872274808220574</c:v>
                </c:pt>
                <c:pt idx="8">
                  <c:v>1.4559856022143778</c:v>
                </c:pt>
                <c:pt idx="9">
                  <c:v>1.2621917192449463</c:v>
                </c:pt>
                <c:pt idx="10">
                  <c:v>1.5303518893826049</c:v>
                </c:pt>
                <c:pt idx="11">
                  <c:v>1.9231153974583128</c:v>
                </c:pt>
                <c:pt idx="12">
                  <c:v>1.7069086026424487</c:v>
                </c:pt>
                <c:pt idx="14">
                  <c:v>1.5713321920932366</c:v>
                </c:pt>
                <c:pt idx="15">
                  <c:v>0.44688158026465674</c:v>
                </c:pt>
                <c:pt idx="18">
                  <c:v>1.7668777826971027</c:v>
                </c:pt>
                <c:pt idx="19">
                  <c:v>1.7434091842153507</c:v>
                </c:pt>
                <c:pt idx="20">
                  <c:v>1.5180500713061094</c:v>
                </c:pt>
                <c:pt idx="21">
                  <c:v>1.2952075905489406</c:v>
                </c:pt>
                <c:pt idx="22">
                  <c:v>1.7886101206671592</c:v>
                </c:pt>
                <c:pt idx="23">
                  <c:v>0.2590449106932658</c:v>
                </c:pt>
                <c:pt idx="24">
                  <c:v>0.4369987931704849</c:v>
                </c:pt>
                <c:pt idx="25">
                  <c:v>0.45640421249959778</c:v>
                </c:pt>
                <c:pt idx="26">
                  <c:v>0.47728257801343987</c:v>
                </c:pt>
                <c:pt idx="27">
                  <c:v>0.44585947381665109</c:v>
                </c:pt>
                <c:pt idx="28">
                  <c:v>1.5013161954774068</c:v>
                </c:pt>
                <c:pt idx="29">
                  <c:v>1.3349343903482389</c:v>
                </c:pt>
              </c:numCache>
            </c:numRef>
          </c:yVal>
          <c:smooth val="0"/>
          <c:extLst xmlns:c15="http://schemas.microsoft.com/office/drawing/2012/chart">
            <c:ext xmlns:c16="http://schemas.microsoft.com/office/drawing/2014/chart" uri="{C3380CC4-5D6E-409C-BE32-E72D297353CC}">
              <c16:uniqueId val="{00000003-28F6-421A-A7EF-6D20AB147608}"/>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m!$DU$86:$DX$86</c:f>
              <c:numCache>
                <c:formatCode>General</c:formatCode>
                <c:ptCount val="4"/>
                <c:pt idx="1">
                  <c:v>3.8469075681895233</c:v>
                </c:pt>
              </c:numCache>
              <c:extLst xmlns:c15="http://schemas.microsoft.com/office/drawing/2012/chart"/>
            </c:numRef>
          </c:xVal>
          <c:yVal>
            <c:numRef>
              <c:f>m!$DU$79:$DX$79</c:f>
              <c:numCache>
                <c:formatCode>General</c:formatCode>
                <c:ptCount val="4"/>
                <c:pt idx="1">
                  <c:v>1.907573846899091</c:v>
                </c:pt>
              </c:numCache>
            </c:numRef>
          </c:yVal>
          <c:smooth val="0"/>
          <c:extLst xmlns:c15="http://schemas.microsoft.com/office/drawing/2012/chart">
            <c:ext xmlns:c16="http://schemas.microsoft.com/office/drawing/2014/chart" uri="{C3380CC4-5D6E-409C-BE32-E72D297353CC}">
              <c16:uniqueId val="{00000004-28F6-421A-A7EF-6D20AB147608}"/>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m!$DY$79:$EL$79</c:f>
              <c:numCache>
                <c:formatCode>General</c:formatCode>
                <c:ptCount val="14"/>
                <c:pt idx="0">
                  <c:v>1.1827687529766695</c:v>
                </c:pt>
                <c:pt idx="1">
                  <c:v>1.5922301088992457</c:v>
                </c:pt>
                <c:pt idx="2">
                  <c:v>1.3047737209534676</c:v>
                </c:pt>
                <c:pt idx="3">
                  <c:v>1.3445502276334358</c:v>
                </c:pt>
                <c:pt idx="4">
                  <c:v>1.4734878983735227</c:v>
                </c:pt>
                <c:pt idx="5">
                  <c:v>1.2617475500608268</c:v>
                </c:pt>
                <c:pt idx="6">
                  <c:v>1.8128467343100247</c:v>
                </c:pt>
                <c:pt idx="7">
                  <c:v>1.2759010092309353</c:v>
                </c:pt>
                <c:pt idx="8">
                  <c:v>1.4193221697111995</c:v>
                </c:pt>
                <c:pt idx="10">
                  <c:v>1.3512247749590496</c:v>
                </c:pt>
                <c:pt idx="11">
                  <c:v>1.9149651932600131</c:v>
                </c:pt>
                <c:pt idx="13">
                  <c:v>1.4686488617348115</c:v>
                </c:pt>
              </c:numCache>
            </c:numRef>
          </c:yVal>
          <c:smooth val="0"/>
          <c:extLst xmlns:c15="http://schemas.microsoft.com/office/drawing/2012/chart">
            <c:ext xmlns:c16="http://schemas.microsoft.com/office/drawing/2014/chart" uri="{C3380CC4-5D6E-409C-BE32-E72D297353CC}">
              <c16:uniqueId val="{00000005-28F6-421A-A7EF-6D20AB147608}"/>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numRef>
          </c:xVal>
          <c:yVal>
            <c:numRef>
              <c:f>m!$AF$80:$AO$80</c:f>
              <c:numCache>
                <c:formatCode>General</c:formatCode>
                <c:ptCount val="10"/>
                <c:pt idx="6">
                  <c:v>0.86856550087254003</c:v>
                </c:pt>
                <c:pt idx="7">
                  <c:v>0.93508346892075878</c:v>
                </c:pt>
                <c:pt idx="8">
                  <c:v>0.9926940380314474</c:v>
                </c:pt>
                <c:pt idx="9">
                  <c:v>0.79091093044081551</c:v>
                </c:pt>
              </c:numCache>
            </c:numRef>
          </c:yVal>
          <c:smooth val="0"/>
          <c:extLst>
            <c:ext xmlns:c16="http://schemas.microsoft.com/office/drawing/2014/chart" uri="{C3380CC4-5D6E-409C-BE32-E72D297353CC}">
              <c16:uniqueId val="{00000006-28F6-421A-A7EF-6D20AB147608}"/>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f>m!$AP$80:$BL$80</c:f>
              <c:numCache>
                <c:formatCode>General</c:formatCode>
                <c:ptCount val="23"/>
                <c:pt idx="0">
                  <c:v>0.35670227841084173</c:v>
                </c:pt>
                <c:pt idx="1">
                  <c:v>0.39958209728544325</c:v>
                </c:pt>
                <c:pt idx="2">
                  <c:v>0.47609531742686972</c:v>
                </c:pt>
                <c:pt idx="3">
                  <c:v>0.7228178776013876</c:v>
                </c:pt>
                <c:pt idx="4">
                  <c:v>0.71685179166122937</c:v>
                </c:pt>
                <c:pt idx="6">
                  <c:v>0.76968125489856254</c:v>
                </c:pt>
                <c:pt idx="12">
                  <c:v>0.75190352916130565</c:v>
                </c:pt>
                <c:pt idx="19">
                  <c:v>0.3483215613221044</c:v>
                </c:pt>
                <c:pt idx="20">
                  <c:v>0.49182535591416304</c:v>
                </c:pt>
                <c:pt idx="21">
                  <c:v>0.40532515318118378</c:v>
                </c:pt>
              </c:numCache>
            </c:numRef>
          </c:yVal>
          <c:smooth val="0"/>
          <c:extLst>
            <c:ext xmlns:c16="http://schemas.microsoft.com/office/drawing/2014/chart" uri="{C3380CC4-5D6E-409C-BE32-E72D297353CC}">
              <c16:uniqueId val="{00000007-28F6-421A-A7EF-6D20AB147608}"/>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numRef>
          </c:xVal>
          <c:yVal>
            <c:numRef>
              <c:f>m!$BM$80:$CO$80</c:f>
              <c:numCache>
                <c:formatCode>General</c:formatCode>
                <c:ptCount val="29"/>
                <c:pt idx="0">
                  <c:v>0.77978962010131403</c:v>
                </c:pt>
                <c:pt idx="1">
                  <c:v>1.7048174772882547</c:v>
                </c:pt>
                <c:pt idx="3">
                  <c:v>0.7269809310372376</c:v>
                </c:pt>
                <c:pt idx="4">
                  <c:v>0.8967181286865934</c:v>
                </c:pt>
                <c:pt idx="5">
                  <c:v>0.88120931532455549</c:v>
                </c:pt>
                <c:pt idx="6">
                  <c:v>0.74907264470265744</c:v>
                </c:pt>
                <c:pt idx="7">
                  <c:v>1.0076082233866943</c:v>
                </c:pt>
                <c:pt idx="8">
                  <c:v>1.6693104506675285</c:v>
                </c:pt>
                <c:pt idx="9">
                  <c:v>1.5857191923932816</c:v>
                </c:pt>
                <c:pt idx="10">
                  <c:v>1.6260593070800384</c:v>
                </c:pt>
                <c:pt idx="11">
                  <c:v>1.7396480443710185</c:v>
                </c:pt>
                <c:pt idx="12">
                  <c:v>1.9572615935443178</c:v>
                </c:pt>
                <c:pt idx="13">
                  <c:v>0.74549202029759021</c:v>
                </c:pt>
                <c:pt idx="14">
                  <c:v>1.0603781057270967</c:v>
                </c:pt>
                <c:pt idx="15">
                  <c:v>1.5795446377348115</c:v>
                </c:pt>
                <c:pt idx="16">
                  <c:v>1.6147489860331476</c:v>
                </c:pt>
                <c:pt idx="17">
                  <c:v>1.7109166412556072</c:v>
                </c:pt>
                <c:pt idx="18">
                  <c:v>1.8636032061992713</c:v>
                </c:pt>
                <c:pt idx="19">
                  <c:v>1.8488406216906172</c:v>
                </c:pt>
              </c:numCache>
            </c:numRef>
          </c:yVal>
          <c:smooth val="0"/>
          <c:extLst>
            <c:ext xmlns:c16="http://schemas.microsoft.com/office/drawing/2014/chart" uri="{C3380CC4-5D6E-409C-BE32-E72D297353CC}">
              <c16:uniqueId val="{00000008-28F6-421A-A7EF-6D20AB147608}"/>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numRef>
          </c:xVal>
          <c:yVal>
            <c:numRef>
              <c:f>m!$CP$80:$DT$80</c:f>
              <c:numCache>
                <c:formatCode>General</c:formatCode>
                <c:ptCount val="31"/>
                <c:pt idx="0">
                  <c:v>0.8523506116283186</c:v>
                </c:pt>
                <c:pt idx="1">
                  <c:v>0.8616887945931162</c:v>
                </c:pt>
                <c:pt idx="2">
                  <c:v>0.94626237606136765</c:v>
                </c:pt>
                <c:pt idx="3">
                  <c:v>0.8897212139622912</c:v>
                </c:pt>
                <c:pt idx="4">
                  <c:v>0.87463981438971639</c:v>
                </c:pt>
                <c:pt idx="5">
                  <c:v>0.8027082766571848</c:v>
                </c:pt>
                <c:pt idx="6">
                  <c:v>1.0286545306184773</c:v>
                </c:pt>
                <c:pt idx="7">
                  <c:v>0.81666844494022717</c:v>
                </c:pt>
                <c:pt idx="8">
                  <c:v>0.88375362062119067</c:v>
                </c:pt>
                <c:pt idx="9">
                  <c:v>0.87343796826865439</c:v>
                </c:pt>
                <c:pt idx="10">
                  <c:v>0.90717043892038263</c:v>
                </c:pt>
                <c:pt idx="11">
                  <c:v>0.77696007102375209</c:v>
                </c:pt>
                <c:pt idx="12">
                  <c:v>0.95617876197311746</c:v>
                </c:pt>
                <c:pt idx="14">
                  <c:v>0.82926537817227541</c:v>
                </c:pt>
                <c:pt idx="15">
                  <c:v>0.37461903699367671</c:v>
                </c:pt>
                <c:pt idx="18">
                  <c:v>0.86261709929656527</c:v>
                </c:pt>
                <c:pt idx="19">
                  <c:v>1.147041078676053</c:v>
                </c:pt>
                <c:pt idx="20">
                  <c:v>0.82825781008443189</c:v>
                </c:pt>
                <c:pt idx="21">
                  <c:v>0.99416159674307769</c:v>
                </c:pt>
                <c:pt idx="22">
                  <c:v>0.97710938253690449</c:v>
                </c:pt>
                <c:pt idx="23">
                  <c:v>0.33875529213870598</c:v>
                </c:pt>
                <c:pt idx="24">
                  <c:v>0.37774710494994568</c:v>
                </c:pt>
                <c:pt idx="25">
                  <c:v>0.34936095647520754</c:v>
                </c:pt>
                <c:pt idx="26">
                  <c:v>0.37933498514881531</c:v>
                </c:pt>
                <c:pt idx="27">
                  <c:v>0.35290947277543305</c:v>
                </c:pt>
                <c:pt idx="28">
                  <c:v>0.77306978432482409</c:v>
                </c:pt>
                <c:pt idx="29">
                  <c:v>0.85115573895272201</c:v>
                </c:pt>
              </c:numCache>
            </c:numRef>
          </c:yVal>
          <c:smooth val="0"/>
          <c:extLst>
            <c:ext xmlns:c16="http://schemas.microsoft.com/office/drawing/2014/chart" uri="{C3380CC4-5D6E-409C-BE32-E72D297353CC}">
              <c16:uniqueId val="{00000009-28F6-421A-A7EF-6D20AB147608}"/>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m!$DU$86:$DX$86</c:f>
              <c:numCache>
                <c:formatCode>General</c:formatCode>
                <c:ptCount val="4"/>
                <c:pt idx="1">
                  <c:v>3.8469075681895233</c:v>
                </c:pt>
              </c:numCache>
            </c:numRef>
          </c:xVal>
          <c:yVal>
            <c:numRef>
              <c:f>m!$DU$80:$DX$80</c:f>
              <c:numCache>
                <c:formatCode>General</c:formatCode>
                <c:ptCount val="4"/>
                <c:pt idx="1">
                  <c:v>0.98330450715398032</c:v>
                </c:pt>
              </c:numCache>
            </c:numRef>
          </c:yVal>
          <c:smooth val="0"/>
          <c:extLst>
            <c:ext xmlns:c16="http://schemas.microsoft.com/office/drawing/2014/chart" uri="{C3380CC4-5D6E-409C-BE32-E72D297353CC}">
              <c16:uniqueId val="{0000000A-28F6-421A-A7EF-6D20AB147608}"/>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m!$DY$80:$EL$80</c:f>
              <c:numCache>
                <c:formatCode>General</c:formatCode>
                <c:ptCount val="14"/>
                <c:pt idx="0">
                  <c:v>0.68706644909755832</c:v>
                </c:pt>
                <c:pt idx="1">
                  <c:v>0.96387589376920457</c:v>
                </c:pt>
                <c:pt idx="2">
                  <c:v>0.95655933668005899</c:v>
                </c:pt>
                <c:pt idx="3">
                  <c:v>0.68691940454322187</c:v>
                </c:pt>
                <c:pt idx="4">
                  <c:v>0.7310821320940678</c:v>
                </c:pt>
                <c:pt idx="5">
                  <c:v>0.76030615395550982</c:v>
                </c:pt>
                <c:pt idx="6">
                  <c:v>0.73498946157261968</c:v>
                </c:pt>
                <c:pt idx="7">
                  <c:v>0.77504365334846181</c:v>
                </c:pt>
                <c:pt idx="8">
                  <c:v>0.71659350676421485</c:v>
                </c:pt>
                <c:pt idx="10">
                  <c:v>0.72297347830386149</c:v>
                </c:pt>
                <c:pt idx="11">
                  <c:v>1.0919664384482002</c:v>
                </c:pt>
                <c:pt idx="13">
                  <c:v>0.82718542850260612</c:v>
                </c:pt>
              </c:numCache>
            </c:numRef>
          </c:yVal>
          <c:smooth val="0"/>
          <c:extLst>
            <c:ext xmlns:c16="http://schemas.microsoft.com/office/drawing/2014/chart" uri="{C3380CC4-5D6E-409C-BE32-E72D297353CC}">
              <c16:uniqueId val="{0000000B-28F6-421A-A7EF-6D20AB147608}"/>
            </c:ext>
          </c:extLst>
        </c:ser>
        <c:dLbls>
          <c:showLegendKey val="0"/>
          <c:showVal val="0"/>
          <c:showCatName val="0"/>
          <c:showSerName val="0"/>
          <c:showPercent val="0"/>
          <c:showBubbleSize val="0"/>
        </c:dLbls>
        <c:axId val="624399680"/>
        <c:axId val="624400008"/>
        <c:extLst/>
      </c:scatterChart>
      <c:valAx>
        <c:axId val="624399680"/>
        <c:scaling>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Normalized Span Length, L̃ = L/L</a:t>
                </a:r>
                <a:r>
                  <a:rPr lang="en-US" sz="1800" baseline="-25000">
                    <a:effectLst/>
                  </a:rPr>
                  <a:t>st</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Normalized Dominant Half Walength, λ̃ = λ/L</a:t>
                </a:r>
                <a:r>
                  <a:rPr lang="en-US" sz="1400" b="0" i="0" u="none" strike="noStrike" baseline="-25000">
                    <a:effectLst/>
                  </a:rPr>
                  <a:t>st</a:t>
                </a:r>
                <a:r>
                  <a:rPr lang="en-US" sz="1400" b="0" i="0" u="none" strike="noStrike" baseline="0">
                    <a:effectLst/>
                  </a:rPr>
                  <a:t> </a:t>
                </a:r>
                <a:endParaRPr lang="en-US" sz="1400">
                  <a:effectLst/>
                </a:endParaRPr>
              </a:p>
            </c:rich>
          </c:tx>
          <c:layout>
            <c:manualLayout>
              <c:xMode val="edge"/>
              <c:yMode val="edge"/>
              <c:x val="1.278701598026457E-2"/>
              <c:y val="0.19548900404543448"/>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366682879164323E-2"/>
          <c:y val="1.4852801519468186E-2"/>
          <c:w val="0.6763990728204049"/>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extLst xmlns:c15="http://schemas.microsoft.com/office/drawing/2012/chart"/>
            </c:numRef>
          </c:xVal>
          <c:yVal>
            <c:numRef>
              <c:f>m!$AF$165:$AO$165</c:f>
              <c:numCache>
                <c:formatCode>General</c:formatCode>
                <c:ptCount val="10"/>
                <c:pt idx="0">
                  <c:v>0</c:v>
                </c:pt>
                <c:pt idx="1">
                  <c:v>0</c:v>
                </c:pt>
                <c:pt idx="2">
                  <c:v>0</c:v>
                </c:pt>
                <c:pt idx="3">
                  <c:v>0</c:v>
                </c:pt>
                <c:pt idx="4">
                  <c:v>0</c:v>
                </c:pt>
                <c:pt idx="5">
                  <c:v>0</c:v>
                </c:pt>
                <c:pt idx="6">
                  <c:v>1.5126010543890374</c:v>
                </c:pt>
                <c:pt idx="7">
                  <c:v>1.5445502730666385</c:v>
                </c:pt>
                <c:pt idx="8">
                  <c:v>1.3398636145219069</c:v>
                </c:pt>
                <c:pt idx="9">
                  <c:v>1.0941103470503644</c:v>
                </c:pt>
              </c:numCache>
            </c:numRef>
          </c:yVal>
          <c:smooth val="0"/>
          <c:extLst xmlns:c15="http://schemas.microsoft.com/office/drawing/2012/chart">
            <c:ext xmlns:c16="http://schemas.microsoft.com/office/drawing/2014/chart" uri="{C3380CC4-5D6E-409C-BE32-E72D297353CC}">
              <c16:uniqueId val="{00000000-A9E2-43F7-9E71-F1A0CDB7F61B}"/>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extLst xmlns:c15="http://schemas.microsoft.com/office/drawing/2012/chart"/>
            </c:numRef>
          </c:xVal>
          <c:yVal>
            <c:numRef>
              <c:f>m!$AP$165:$BL$165</c:f>
              <c:numCache>
                <c:formatCode>General</c:formatCode>
                <c:ptCount val="23"/>
                <c:pt idx="0">
                  <c:v>0.75454396165228621</c:v>
                </c:pt>
                <c:pt idx="1">
                  <c:v>0.58752971994642866</c:v>
                </c:pt>
                <c:pt idx="2">
                  <c:v>0.79055981295149136</c:v>
                </c:pt>
                <c:pt idx="3">
                  <c:v>0.92840278079517013</c:v>
                </c:pt>
                <c:pt idx="4">
                  <c:v>1.0631780967363897</c:v>
                </c:pt>
                <c:pt idx="5">
                  <c:v>0</c:v>
                </c:pt>
                <c:pt idx="6">
                  <c:v>0.7196936221734882</c:v>
                </c:pt>
                <c:pt idx="7">
                  <c:v>0</c:v>
                </c:pt>
                <c:pt idx="8">
                  <c:v>0</c:v>
                </c:pt>
                <c:pt idx="9">
                  <c:v>0</c:v>
                </c:pt>
                <c:pt idx="10">
                  <c:v>0</c:v>
                </c:pt>
                <c:pt idx="11">
                  <c:v>0</c:v>
                </c:pt>
                <c:pt idx="12">
                  <c:v>0.88774780637262607</c:v>
                </c:pt>
                <c:pt idx="13">
                  <c:v>0</c:v>
                </c:pt>
                <c:pt idx="14">
                  <c:v>0</c:v>
                </c:pt>
                <c:pt idx="15">
                  <c:v>0</c:v>
                </c:pt>
                <c:pt idx="16">
                  <c:v>0</c:v>
                </c:pt>
                <c:pt idx="17">
                  <c:v>0</c:v>
                </c:pt>
                <c:pt idx="18">
                  <c:v>0</c:v>
                </c:pt>
                <c:pt idx="19">
                  <c:v>0.70688229091512322</c:v>
                </c:pt>
                <c:pt idx="20">
                  <c:v>0.84185882067456197</c:v>
                </c:pt>
                <c:pt idx="21">
                  <c:v>0.63781013326889291</c:v>
                </c:pt>
                <c:pt idx="22">
                  <c:v>0</c:v>
                </c:pt>
              </c:numCache>
            </c:numRef>
          </c:yVal>
          <c:smooth val="0"/>
          <c:extLst xmlns:c15="http://schemas.microsoft.com/office/drawing/2012/chart">
            <c:ext xmlns:c16="http://schemas.microsoft.com/office/drawing/2014/chart" uri="{C3380CC4-5D6E-409C-BE32-E72D297353CC}">
              <c16:uniqueId val="{00000001-A9E2-43F7-9E71-F1A0CDB7F61B}"/>
            </c:ext>
          </c:extLst>
        </c:ser>
        <c:ser>
          <c:idx val="11"/>
          <c:order val="2"/>
          <c:tx>
            <c:v>CF, Pipe 1</c:v>
          </c:tx>
          <c:spPr>
            <a:ln w="25400" cap="rnd">
              <a:noFill/>
              <a:round/>
            </a:ln>
            <a:effectLst/>
          </c:spPr>
          <c:marker>
            <c:symbol val="x"/>
            <c:size val="7"/>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extLst xmlns:c15="http://schemas.microsoft.com/office/drawing/2012/chart"/>
            </c:numRef>
          </c:xVal>
          <c:yVal>
            <c:numRef>
              <c:f>m!$BM$165:$CO$165</c:f>
              <c:numCache>
                <c:formatCode>General</c:formatCode>
                <c:ptCount val="29"/>
                <c:pt idx="0">
                  <c:v>1.2535334732696222</c:v>
                </c:pt>
                <c:pt idx="1">
                  <c:v>1.0726684504584012</c:v>
                </c:pt>
                <c:pt idx="2">
                  <c:v>0</c:v>
                </c:pt>
                <c:pt idx="3">
                  <c:v>1.0670837535709388</c:v>
                </c:pt>
                <c:pt idx="4">
                  <c:v>1.4013069889754997</c:v>
                </c:pt>
                <c:pt idx="5">
                  <c:v>1.0447135460661456</c:v>
                </c:pt>
                <c:pt idx="6">
                  <c:v>1.0940671527850943</c:v>
                </c:pt>
                <c:pt idx="7">
                  <c:v>1.2428830857062334</c:v>
                </c:pt>
                <c:pt idx="8">
                  <c:v>1.0480885051906634</c:v>
                </c:pt>
                <c:pt idx="9">
                  <c:v>1.035375170367941</c:v>
                </c:pt>
                <c:pt idx="10">
                  <c:v>0.87906894183794027</c:v>
                </c:pt>
                <c:pt idx="11">
                  <c:v>0.90328929561542914</c:v>
                </c:pt>
                <c:pt idx="12">
                  <c:v>0.85607480108599776</c:v>
                </c:pt>
                <c:pt idx="13">
                  <c:v>1.0234117800952187</c:v>
                </c:pt>
                <c:pt idx="14">
                  <c:v>1.0814339356008342</c:v>
                </c:pt>
                <c:pt idx="15">
                  <c:v>1.0509850544985764</c:v>
                </c:pt>
                <c:pt idx="16">
                  <c:v>0.81727783610937643</c:v>
                </c:pt>
                <c:pt idx="17">
                  <c:v>0.81440792423696484</c:v>
                </c:pt>
                <c:pt idx="18">
                  <c:v>0.6959026428982118</c:v>
                </c:pt>
                <c:pt idx="19">
                  <c:v>0.68568889407713085</c:v>
                </c:pt>
                <c:pt idx="20">
                  <c:v>0</c:v>
                </c:pt>
                <c:pt idx="21">
                  <c:v>0</c:v>
                </c:pt>
                <c:pt idx="22">
                  <c:v>0</c:v>
                </c:pt>
                <c:pt idx="23">
                  <c:v>0</c:v>
                </c:pt>
                <c:pt idx="24">
                  <c:v>0</c:v>
                </c:pt>
                <c:pt idx="25">
                  <c:v>0</c:v>
                </c:pt>
                <c:pt idx="26">
                  <c:v>0</c:v>
                </c:pt>
                <c:pt idx="27">
                  <c:v>0</c:v>
                </c:pt>
                <c:pt idx="28">
                  <c:v>0</c:v>
                </c:pt>
              </c:numCache>
            </c:numRef>
          </c:yVal>
          <c:smooth val="0"/>
          <c:extLst xmlns:c15="http://schemas.microsoft.com/office/drawing/2012/chart">
            <c:ext xmlns:c16="http://schemas.microsoft.com/office/drawing/2014/chart" uri="{C3380CC4-5D6E-409C-BE32-E72D297353CC}">
              <c16:uniqueId val="{00000002-A9E2-43F7-9E71-F1A0CDB7F61B}"/>
            </c:ext>
          </c:extLst>
        </c:ser>
        <c:ser>
          <c:idx val="13"/>
          <c:order val="3"/>
          <c:tx>
            <c:v>CF, Pipe 2</c:v>
          </c:tx>
          <c:spPr>
            <a:ln w="25400" cap="rnd">
              <a:noFill/>
              <a:round/>
            </a:ln>
            <a:effectLst/>
          </c:spPr>
          <c:marker>
            <c:symbol val="x"/>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extLst xmlns:c15="http://schemas.microsoft.com/office/drawing/2012/chart"/>
            </c:numRef>
          </c:xVal>
          <c:yVal>
            <c:numRef>
              <c:f>m!$CP$165:$DT$165</c:f>
              <c:numCache>
                <c:formatCode>General</c:formatCode>
                <c:ptCount val="31"/>
                <c:pt idx="0">
                  <c:v>0.95703646714408841</c:v>
                </c:pt>
                <c:pt idx="1">
                  <c:v>1.0765559444721671</c:v>
                </c:pt>
                <c:pt idx="2">
                  <c:v>1.0106529065748984</c:v>
                </c:pt>
                <c:pt idx="3">
                  <c:v>1.208321864294243</c:v>
                </c:pt>
                <c:pt idx="4">
                  <c:v>0.9409881078116441</c:v>
                </c:pt>
                <c:pt idx="5">
                  <c:v>1.1065309719253995</c:v>
                </c:pt>
                <c:pt idx="6">
                  <c:v>0.8831316056558639</c:v>
                </c:pt>
                <c:pt idx="7">
                  <c:v>1.0790814832577182</c:v>
                </c:pt>
                <c:pt idx="8">
                  <c:v>1.1957631054334636</c:v>
                </c:pt>
                <c:pt idx="9">
                  <c:v>0.92419120874843819</c:v>
                </c:pt>
                <c:pt idx="10">
                  <c:v>0.9579300142221443</c:v>
                </c:pt>
                <c:pt idx="11">
                  <c:v>0.98083693928541904</c:v>
                </c:pt>
                <c:pt idx="12">
                  <c:v>1.1412888536252312</c:v>
                </c:pt>
                <c:pt idx="13">
                  <c:v>0</c:v>
                </c:pt>
                <c:pt idx="14">
                  <c:v>0.82417998441659113</c:v>
                </c:pt>
                <c:pt idx="15">
                  <c:v>1.1278000163631245</c:v>
                </c:pt>
                <c:pt idx="16">
                  <c:v>0</c:v>
                </c:pt>
                <c:pt idx="17">
                  <c:v>0</c:v>
                </c:pt>
                <c:pt idx="18">
                  <c:v>1.0490668401355636</c:v>
                </c:pt>
                <c:pt idx="19">
                  <c:v>1.1236492721882458</c:v>
                </c:pt>
                <c:pt idx="20">
                  <c:v>0.97725012154973845</c:v>
                </c:pt>
                <c:pt idx="21">
                  <c:v>0.9304840398248948</c:v>
                </c:pt>
                <c:pt idx="22">
                  <c:v>0.82890739800870394</c:v>
                </c:pt>
                <c:pt idx="23">
                  <c:v>1.0747613484255449</c:v>
                </c:pt>
                <c:pt idx="24">
                  <c:v>1.0109132856762415</c:v>
                </c:pt>
                <c:pt idx="25">
                  <c:v>1.2630754946166631</c:v>
                </c:pt>
                <c:pt idx="26">
                  <c:v>1.2735486817466808</c:v>
                </c:pt>
                <c:pt idx="27">
                  <c:v>0.93031417139789196</c:v>
                </c:pt>
                <c:pt idx="28">
                  <c:v>0.98349351869348878</c:v>
                </c:pt>
                <c:pt idx="29">
                  <c:v>0.94497358187386749</c:v>
                </c:pt>
                <c:pt idx="30">
                  <c:v>0</c:v>
                </c:pt>
              </c:numCache>
            </c:numRef>
          </c:yVal>
          <c:smooth val="0"/>
          <c:extLst xmlns:c15="http://schemas.microsoft.com/office/drawing/2012/chart">
            <c:ext xmlns:c16="http://schemas.microsoft.com/office/drawing/2014/chart" uri="{C3380CC4-5D6E-409C-BE32-E72D297353CC}">
              <c16:uniqueId val="{00000003-A9E2-43F7-9E71-F1A0CDB7F61B}"/>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m!$DU$86:$DX$86</c:f>
              <c:numCache>
                <c:formatCode>General</c:formatCode>
                <c:ptCount val="4"/>
                <c:pt idx="1">
                  <c:v>3.8469075681895233</c:v>
                </c:pt>
              </c:numCache>
              <c:extLst xmlns:c15="http://schemas.microsoft.com/office/drawing/2012/chart"/>
            </c:numRef>
          </c:xVal>
          <c:yVal>
            <c:numRef>
              <c:f>m!$DU$165:$DX$165</c:f>
              <c:numCache>
                <c:formatCode>General</c:formatCode>
                <c:ptCount val="4"/>
                <c:pt idx="0">
                  <c:v>0</c:v>
                </c:pt>
                <c:pt idx="1">
                  <c:v>1.0909853460520402</c:v>
                </c:pt>
                <c:pt idx="2">
                  <c:v>0</c:v>
                </c:pt>
                <c:pt idx="3">
                  <c:v>0</c:v>
                </c:pt>
              </c:numCache>
            </c:numRef>
          </c:yVal>
          <c:smooth val="0"/>
          <c:extLst xmlns:c15="http://schemas.microsoft.com/office/drawing/2012/chart">
            <c:ext xmlns:c16="http://schemas.microsoft.com/office/drawing/2014/chart" uri="{C3380CC4-5D6E-409C-BE32-E72D297353CC}">
              <c16:uniqueId val="{00000004-A9E2-43F7-9E71-F1A0CDB7F61B}"/>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m!$DY$165:$EL$165</c:f>
              <c:numCache>
                <c:formatCode>General</c:formatCode>
                <c:ptCount val="14"/>
                <c:pt idx="0">
                  <c:v>0.95694229296830535</c:v>
                </c:pt>
                <c:pt idx="1">
                  <c:v>0.9538141312936681</c:v>
                </c:pt>
                <c:pt idx="2">
                  <c:v>1.0521468661484559</c:v>
                </c:pt>
                <c:pt idx="3">
                  <c:v>1.2467236446831509</c:v>
                </c:pt>
                <c:pt idx="4">
                  <c:v>1.0093718078902234</c:v>
                </c:pt>
                <c:pt idx="5">
                  <c:v>1.2793075023866538</c:v>
                </c:pt>
                <c:pt idx="6">
                  <c:v>1.1155013966966676</c:v>
                </c:pt>
                <c:pt idx="7">
                  <c:v>0.9153757828107193</c:v>
                </c:pt>
                <c:pt idx="8">
                  <c:v>1.3469846035126554</c:v>
                </c:pt>
                <c:pt idx="9">
                  <c:v>0</c:v>
                </c:pt>
                <c:pt idx="10">
                  <c:v>0.99842112898932278</c:v>
                </c:pt>
                <c:pt idx="11">
                  <c:v>1.0658712279696576</c:v>
                </c:pt>
                <c:pt idx="12">
                  <c:v>0</c:v>
                </c:pt>
                <c:pt idx="13">
                  <c:v>0.98095070985983812</c:v>
                </c:pt>
              </c:numCache>
            </c:numRef>
          </c:yVal>
          <c:smooth val="0"/>
          <c:extLst xmlns:c15="http://schemas.microsoft.com/office/drawing/2012/chart">
            <c:ext xmlns:c16="http://schemas.microsoft.com/office/drawing/2014/chart" uri="{C3380CC4-5D6E-409C-BE32-E72D297353CC}">
              <c16:uniqueId val="{00000005-A9E2-43F7-9E71-F1A0CDB7F61B}"/>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numRef>
          </c:xVal>
          <c:yVal>
            <c:numRef>
              <c:f>m!$AF$166:$AO$166</c:f>
              <c:numCache>
                <c:formatCode>General</c:formatCode>
                <c:ptCount val="10"/>
                <c:pt idx="0">
                  <c:v>0</c:v>
                </c:pt>
                <c:pt idx="1">
                  <c:v>0</c:v>
                </c:pt>
                <c:pt idx="2">
                  <c:v>0</c:v>
                </c:pt>
                <c:pt idx="3">
                  <c:v>0</c:v>
                </c:pt>
                <c:pt idx="4">
                  <c:v>0</c:v>
                </c:pt>
                <c:pt idx="5">
                  <c:v>0</c:v>
                </c:pt>
                <c:pt idx="6">
                  <c:v>1.5605517203992347</c:v>
                </c:pt>
                <c:pt idx="7">
                  <c:v>1.4423449121902767</c:v>
                </c:pt>
                <c:pt idx="8">
                  <c:v>1.1643193121234052</c:v>
                </c:pt>
                <c:pt idx="9">
                  <c:v>1.2259963919039951</c:v>
                </c:pt>
              </c:numCache>
            </c:numRef>
          </c:yVal>
          <c:smooth val="0"/>
          <c:extLst>
            <c:ext xmlns:c16="http://schemas.microsoft.com/office/drawing/2014/chart" uri="{C3380CC4-5D6E-409C-BE32-E72D297353CC}">
              <c16:uniqueId val="{00000006-A9E2-43F7-9E71-F1A0CDB7F61B}"/>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f>m!$AP$166:$BL$166</c:f>
              <c:numCache>
                <c:formatCode>General</c:formatCode>
                <c:ptCount val="23"/>
                <c:pt idx="0">
                  <c:v>1.0388287892955566</c:v>
                </c:pt>
                <c:pt idx="1">
                  <c:v>1.0673832251345081</c:v>
                </c:pt>
                <c:pt idx="2">
                  <c:v>0.6999044465859664</c:v>
                </c:pt>
                <c:pt idx="3">
                  <c:v>0.75157373502077507</c:v>
                </c:pt>
                <c:pt idx="4">
                  <c:v>0.75072991144725809</c:v>
                </c:pt>
                <c:pt idx="5">
                  <c:v>0</c:v>
                </c:pt>
                <c:pt idx="6">
                  <c:v>0.76299202820174417</c:v>
                </c:pt>
                <c:pt idx="7">
                  <c:v>0</c:v>
                </c:pt>
                <c:pt idx="8">
                  <c:v>0</c:v>
                </c:pt>
                <c:pt idx="9">
                  <c:v>0</c:v>
                </c:pt>
                <c:pt idx="10">
                  <c:v>0</c:v>
                </c:pt>
                <c:pt idx="11">
                  <c:v>0</c:v>
                </c:pt>
                <c:pt idx="12">
                  <c:v>0.6840158214358234</c:v>
                </c:pt>
                <c:pt idx="13">
                  <c:v>0</c:v>
                </c:pt>
                <c:pt idx="14">
                  <c:v>0</c:v>
                </c:pt>
                <c:pt idx="15">
                  <c:v>0</c:v>
                </c:pt>
                <c:pt idx="16">
                  <c:v>0</c:v>
                </c:pt>
                <c:pt idx="17">
                  <c:v>0</c:v>
                </c:pt>
                <c:pt idx="18">
                  <c:v>0</c:v>
                </c:pt>
                <c:pt idx="19">
                  <c:v>1.049335382971589</c:v>
                </c:pt>
                <c:pt idx="20">
                  <c:v>0.84473946212625639</c:v>
                </c:pt>
                <c:pt idx="21">
                  <c:v>1.0850340651093056</c:v>
                </c:pt>
                <c:pt idx="22">
                  <c:v>0</c:v>
                </c:pt>
              </c:numCache>
            </c:numRef>
          </c:yVal>
          <c:smooth val="0"/>
          <c:extLst>
            <c:ext xmlns:c16="http://schemas.microsoft.com/office/drawing/2014/chart" uri="{C3380CC4-5D6E-409C-BE32-E72D297353CC}">
              <c16:uniqueId val="{00000007-A9E2-43F7-9E71-F1A0CDB7F61B}"/>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numRef>
          </c:xVal>
          <c:yVal>
            <c:numRef>
              <c:f>m!$BM$166:$CO$166</c:f>
              <c:numCache>
                <c:formatCode>General</c:formatCode>
                <c:ptCount val="29"/>
                <c:pt idx="0">
                  <c:v>1.0721534836820628</c:v>
                </c:pt>
                <c:pt idx="1">
                  <c:v>1.2080550905276519</c:v>
                </c:pt>
                <c:pt idx="2">
                  <c:v>0</c:v>
                </c:pt>
                <c:pt idx="3">
                  <c:v>0.96326507497146108</c:v>
                </c:pt>
                <c:pt idx="4">
                  <c:v>1.4748385159180419</c:v>
                </c:pt>
                <c:pt idx="5">
                  <c:v>0.99177183017394765</c:v>
                </c:pt>
                <c:pt idx="6">
                  <c:v>1.0723163151716879</c:v>
                </c:pt>
                <c:pt idx="7">
                  <c:v>1.3962968123168449</c:v>
                </c:pt>
                <c:pt idx="8">
                  <c:v>1.1533588320937027</c:v>
                </c:pt>
                <c:pt idx="9">
                  <c:v>1.0813902030509484</c:v>
                </c:pt>
                <c:pt idx="10">
                  <c:v>0.97077802682414027</c:v>
                </c:pt>
                <c:pt idx="11">
                  <c:v>0.93753262567133755</c:v>
                </c:pt>
                <c:pt idx="12">
                  <c:v>0.98273557571073011</c:v>
                </c:pt>
                <c:pt idx="13">
                  <c:v>0.91930655591192023</c:v>
                </c:pt>
                <c:pt idx="14">
                  <c:v>1.2143875343860293</c:v>
                </c:pt>
                <c:pt idx="15">
                  <c:v>1.0258901847856168</c:v>
                </c:pt>
                <c:pt idx="16">
                  <c:v>1.0414834579195864</c:v>
                </c:pt>
                <c:pt idx="17">
                  <c:v>0.924118523029828</c:v>
                </c:pt>
                <c:pt idx="18">
                  <c:v>0.87943755141171642</c:v>
                </c:pt>
                <c:pt idx="19">
                  <c:v>0.81539647420147443</c:v>
                </c:pt>
                <c:pt idx="20">
                  <c:v>0</c:v>
                </c:pt>
                <c:pt idx="21">
                  <c:v>0</c:v>
                </c:pt>
                <c:pt idx="22">
                  <c:v>0</c:v>
                </c:pt>
                <c:pt idx="23">
                  <c:v>0</c:v>
                </c:pt>
                <c:pt idx="24">
                  <c:v>0</c:v>
                </c:pt>
                <c:pt idx="25">
                  <c:v>0</c:v>
                </c:pt>
                <c:pt idx="26">
                  <c:v>0</c:v>
                </c:pt>
                <c:pt idx="27">
                  <c:v>0</c:v>
                </c:pt>
                <c:pt idx="28">
                  <c:v>0</c:v>
                </c:pt>
              </c:numCache>
            </c:numRef>
          </c:yVal>
          <c:smooth val="0"/>
          <c:extLst>
            <c:ext xmlns:c16="http://schemas.microsoft.com/office/drawing/2014/chart" uri="{C3380CC4-5D6E-409C-BE32-E72D297353CC}">
              <c16:uniqueId val="{00000008-A9E2-43F7-9E71-F1A0CDB7F61B}"/>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numRef>
          </c:xVal>
          <c:yVal>
            <c:numRef>
              <c:f>m!$CP$166:$DT$166</c:f>
              <c:numCache>
                <c:formatCode>General</c:formatCode>
                <c:ptCount val="31"/>
                <c:pt idx="0">
                  <c:v>1.037125138415474</c:v>
                </c:pt>
                <c:pt idx="1">
                  <c:v>0.96329932528668083</c:v>
                </c:pt>
                <c:pt idx="2">
                  <c:v>0.72845865734626081</c:v>
                </c:pt>
                <c:pt idx="3">
                  <c:v>1.15942950873272</c:v>
                </c:pt>
                <c:pt idx="4">
                  <c:v>0.90602170168531471</c:v>
                </c:pt>
                <c:pt idx="5">
                  <c:v>0.81570976119207095</c:v>
                </c:pt>
                <c:pt idx="6">
                  <c:v>0.74199617565538545</c:v>
                </c:pt>
                <c:pt idx="7">
                  <c:v>1.0580100267752839</c:v>
                </c:pt>
                <c:pt idx="8">
                  <c:v>1.2718124590766064</c:v>
                </c:pt>
                <c:pt idx="9">
                  <c:v>0.88597588916612202</c:v>
                </c:pt>
                <c:pt idx="10">
                  <c:v>1.0311411296040076</c:v>
                </c:pt>
                <c:pt idx="11">
                  <c:v>1.0001684019764026</c:v>
                </c:pt>
                <c:pt idx="12">
                  <c:v>0.96096138861820812</c:v>
                </c:pt>
                <c:pt idx="13">
                  <c:v>0</c:v>
                </c:pt>
                <c:pt idx="14">
                  <c:v>0.81717615632285923</c:v>
                </c:pt>
                <c:pt idx="15">
                  <c:v>0.97836725480914566</c:v>
                </c:pt>
                <c:pt idx="16">
                  <c:v>0</c:v>
                </c:pt>
                <c:pt idx="17">
                  <c:v>0</c:v>
                </c:pt>
                <c:pt idx="18">
                  <c:v>1.0670965200981171</c:v>
                </c:pt>
                <c:pt idx="19">
                  <c:v>0.93831458690595781</c:v>
                </c:pt>
                <c:pt idx="20">
                  <c:v>1.1154518500593316</c:v>
                </c:pt>
                <c:pt idx="21">
                  <c:v>0.92397059478481891</c:v>
                </c:pt>
                <c:pt idx="22">
                  <c:v>0.83737812745256146</c:v>
                </c:pt>
                <c:pt idx="23">
                  <c:v>1.284572330063962</c:v>
                </c:pt>
                <c:pt idx="24">
                  <c:v>1.1078449200059199</c:v>
                </c:pt>
                <c:pt idx="25">
                  <c:v>1.0465754163049019</c:v>
                </c:pt>
                <c:pt idx="26">
                  <c:v>1.0513268721787836</c:v>
                </c:pt>
                <c:pt idx="27">
                  <c:v>0.91913539879524975</c:v>
                </c:pt>
                <c:pt idx="28">
                  <c:v>1.1196635229887166</c:v>
                </c:pt>
                <c:pt idx="29">
                  <c:v>1.0471515961095146</c:v>
                </c:pt>
                <c:pt idx="30">
                  <c:v>0</c:v>
                </c:pt>
              </c:numCache>
            </c:numRef>
          </c:yVal>
          <c:smooth val="0"/>
          <c:extLst>
            <c:ext xmlns:c16="http://schemas.microsoft.com/office/drawing/2014/chart" uri="{C3380CC4-5D6E-409C-BE32-E72D297353CC}">
              <c16:uniqueId val="{00000009-A9E2-43F7-9E71-F1A0CDB7F61B}"/>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m!$DU$86:$DX$86</c:f>
              <c:numCache>
                <c:formatCode>General</c:formatCode>
                <c:ptCount val="4"/>
                <c:pt idx="1">
                  <c:v>3.8469075681895233</c:v>
                </c:pt>
              </c:numCache>
            </c:numRef>
          </c:xVal>
          <c:yVal>
            <c:numRef>
              <c:f>m!$DU$166:$DX$166</c:f>
              <c:numCache>
                <c:formatCode>General</c:formatCode>
                <c:ptCount val="4"/>
                <c:pt idx="0">
                  <c:v>0</c:v>
                </c:pt>
                <c:pt idx="1">
                  <c:v>0.92027204427223952</c:v>
                </c:pt>
                <c:pt idx="2">
                  <c:v>0</c:v>
                </c:pt>
                <c:pt idx="3">
                  <c:v>0</c:v>
                </c:pt>
              </c:numCache>
            </c:numRef>
          </c:yVal>
          <c:smooth val="0"/>
          <c:extLst>
            <c:ext xmlns:c16="http://schemas.microsoft.com/office/drawing/2014/chart" uri="{C3380CC4-5D6E-409C-BE32-E72D297353CC}">
              <c16:uniqueId val="{0000000A-A9E2-43F7-9E71-F1A0CDB7F61B}"/>
            </c:ext>
          </c:extLst>
        </c:ser>
        <c:ser>
          <c:idx val="10"/>
          <c:order val="11"/>
          <c:tx>
            <c:v>IL, Pipe 3 Rough</c:v>
          </c:tx>
          <c:spPr>
            <a:ln w="25400" cap="rnd">
              <a:noFill/>
              <a:round/>
            </a:ln>
            <a:effectLst/>
          </c:spPr>
          <c:marker>
            <c:symbol val="circle"/>
            <c:size val="7"/>
            <c:spPr>
              <a:noFill/>
              <a:ln w="1905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m!$DY$166:$EL$166</c:f>
              <c:numCache>
                <c:formatCode>General</c:formatCode>
                <c:ptCount val="14"/>
                <c:pt idx="0">
                  <c:v>0.74774143199093179</c:v>
                </c:pt>
                <c:pt idx="1">
                  <c:v>0.92427162754222658</c:v>
                </c:pt>
                <c:pt idx="2">
                  <c:v>1.0468668808413204</c:v>
                </c:pt>
                <c:pt idx="3">
                  <c:v>1.3315984627856572</c:v>
                </c:pt>
                <c:pt idx="4">
                  <c:v>1.071485136567105</c:v>
                </c:pt>
                <c:pt idx="5">
                  <c:v>1.0212550184638449</c:v>
                </c:pt>
                <c:pt idx="6">
                  <c:v>1.0854937642370912</c:v>
                </c:pt>
                <c:pt idx="7">
                  <c:v>0.91753263241491145</c:v>
                </c:pt>
                <c:pt idx="8">
                  <c:v>1.2027430980143456</c:v>
                </c:pt>
                <c:pt idx="9">
                  <c:v>0</c:v>
                </c:pt>
                <c:pt idx="10">
                  <c:v>0.90519802826948748</c:v>
                </c:pt>
                <c:pt idx="11">
                  <c:v>0.93457233673019213</c:v>
                </c:pt>
                <c:pt idx="12">
                  <c:v>0</c:v>
                </c:pt>
                <c:pt idx="13">
                  <c:v>0.9378922146890516</c:v>
                </c:pt>
              </c:numCache>
            </c:numRef>
          </c:yVal>
          <c:smooth val="0"/>
          <c:extLst>
            <c:ext xmlns:c16="http://schemas.microsoft.com/office/drawing/2014/chart" uri="{C3380CC4-5D6E-409C-BE32-E72D297353CC}">
              <c16:uniqueId val="{0000000B-A9E2-43F7-9E71-F1A0CDB7F61B}"/>
            </c:ext>
          </c:extLst>
        </c:ser>
        <c:dLbls>
          <c:showLegendKey val="0"/>
          <c:showVal val="0"/>
          <c:showCatName val="0"/>
          <c:showSerName val="0"/>
          <c:showPercent val="0"/>
          <c:showBubbleSize val="0"/>
        </c:dLbls>
        <c:axId val="624399680"/>
        <c:axId val="624400008"/>
        <c:extLst/>
      </c:scatterChart>
      <c:valAx>
        <c:axId val="624399680"/>
        <c:scaling>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Normalized Span Length, L̃ = L/L</a:t>
                </a:r>
                <a:r>
                  <a:rPr lang="en-US" sz="1800" baseline="-25000">
                    <a:effectLst/>
                  </a:rPr>
                  <a:t>st</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Ratio Actual/Fitted Fatigue-Equivalent Strain</a:t>
                </a:r>
                <a:endParaRPr lang="en-US" sz="1400">
                  <a:effectLst/>
                </a:endParaRPr>
              </a:p>
            </c:rich>
          </c:tx>
          <c:layout>
            <c:manualLayout>
              <c:xMode val="edge"/>
              <c:yMode val="edge"/>
              <c:x val="1.278701598026457E-2"/>
              <c:y val="0.19548900404543448"/>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accent1"/>
              </a:solidFill>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'c'!$I$277:$I$387</c:f>
              <c:numCache>
                <c:formatCode>General</c:formatCode>
                <c:ptCount val="111"/>
                <c:pt idx="0">
                  <c:v>5.284515865065019E-2</c:v>
                </c:pt>
                <c:pt idx="1">
                  <c:v>5.2868282826688789E-2</c:v>
                </c:pt>
                <c:pt idx="2">
                  <c:v>5.2891396941733296E-2</c:v>
                </c:pt>
                <c:pt idx="3">
                  <c:v>5.2914501009350072E-2</c:v>
                </c:pt>
                <c:pt idx="4">
                  <c:v>5.2937595044222963E-2</c:v>
                </c:pt>
                <c:pt idx="5">
                  <c:v>5.2960679060997037E-2</c:v>
                </c:pt>
                <c:pt idx="6">
                  <c:v>5.2983753074278703E-2</c:v>
                </c:pt>
                <c:pt idx="7">
                  <c:v>5.3006817098635965E-2</c:v>
                </c:pt>
                <c:pt idx="8">
                  <c:v>5.3029871148598549E-2</c:v>
                </c:pt>
                <c:pt idx="9">
                  <c:v>5.305291523865787E-2</c:v>
                </c:pt>
                <c:pt idx="10">
                  <c:v>5.3075949383267332E-2</c:v>
                </c:pt>
                <c:pt idx="11">
                  <c:v>5.3090726814400878E-2</c:v>
                </c:pt>
                <c:pt idx="12">
                  <c:v>5.333517132085433E-2</c:v>
                </c:pt>
                <c:pt idx="13">
                  <c:v>5.357850925444857E-2</c:v>
                </c:pt>
                <c:pt idx="14">
                  <c:v>5.3820757235838471E-2</c:v>
                </c:pt>
                <c:pt idx="15">
                  <c:v>5.4061931440117311E-2</c:v>
                </c:pt>
                <c:pt idx="16">
                  <c:v>5.4302047614111178E-2</c:v>
                </c:pt>
                <c:pt idx="17">
                  <c:v>5.4541121092804193E-2</c:v>
                </c:pt>
                <c:pt idx="18">
                  <c:v>5.4779166814946906E-2</c:v>
                </c:pt>
                <c:pt idx="19">
                  <c:v>5.5016199337897469E-2</c:v>
                </c:pt>
                <c:pt idx="20">
                  <c:v>5.5252232851741127E-2</c:v>
                </c:pt>
                <c:pt idx="21">
                  <c:v>5.7560506816456893E-2</c:v>
                </c:pt>
                <c:pt idx="22">
                  <c:v>5.9782208176798718E-2</c:v>
                </c:pt>
                <c:pt idx="23">
                  <c:v>6.1927095178901777E-2</c:v>
                </c:pt>
                <c:pt idx="24">
                  <c:v>6.4003126277167893E-2</c:v>
                </c:pt>
                <c:pt idx="25">
                  <c:v>6.6016908694615267E-2</c:v>
                </c:pt>
                <c:pt idx="26">
                  <c:v>6.797400987250149E-2</c:v>
                </c:pt>
                <c:pt idx="27">
                  <c:v>6.9879180354076809E-2</c:v>
                </c:pt>
                <c:pt idx="28">
                  <c:v>7.1736517447977238E-2</c:v>
                </c:pt>
                <c:pt idx="29">
                  <c:v>7.354958809693786E-2</c:v>
                </c:pt>
                <c:pt idx="30">
                  <c:v>7.5321522908880639E-2</c:v>
                </c:pt>
                <c:pt idx="31">
                  <c:v>7.7055089336849555E-2</c:v>
                </c:pt>
                <c:pt idx="32">
                  <c:v>7.8752749479510276E-2</c:v>
                </c:pt>
                <c:pt idx="33">
                  <c:v>8.0416706336398372E-2</c:v>
                </c:pt>
                <c:pt idx="34">
                  <c:v>8.2048941259092803E-2</c:v>
                </c:pt>
                <c:pt idx="35">
                  <c:v>8.3651244593600363E-2</c:v>
                </c:pt>
                <c:pt idx="36">
                  <c:v>8.5225240989978468E-2</c:v>
                </c:pt>
                <c:pt idx="37">
                  <c:v>8.6772410487171173E-2</c:v>
                </c:pt>
                <c:pt idx="38">
                  <c:v>8.8294106215854415E-2</c:v>
                </c:pt>
                <c:pt idx="39">
                  <c:v>8.9791569368166374E-2</c:v>
                </c:pt>
                <c:pt idx="40">
                  <c:v>9.1265941939444983E-2</c:v>
                </c:pt>
                <c:pt idx="41">
                  <c:v>9.2718277639194768E-2</c:v>
                </c:pt>
                <c:pt idx="42">
                  <c:v>9.4149551286578301E-2</c:v>
                </c:pt>
                <c:pt idx="43">
                  <c:v>9.5560666942865913E-2</c:v>
                </c:pt>
                <c:pt idx="44">
                  <c:v>9.6952464984564959E-2</c:v>
                </c:pt>
                <c:pt idx="45">
                  <c:v>9.8325728282859626E-2</c:v>
                </c:pt>
                <c:pt idx="46">
                  <c:v>9.9681187624957091E-2</c:v>
                </c:pt>
                <c:pt idx="47">
                  <c:v>0.10101952648906118</c:v>
                </c:pt>
                <c:pt idx="48">
                  <c:v>0.10234138526558202</c:v>
                </c:pt>
                <c:pt idx="49">
                  <c:v>0.10364736500177919</c:v>
                </c:pt>
                <c:pt idx="50">
                  <c:v>0.10493803073453278</c:v>
                </c:pt>
                <c:pt idx="51">
                  <c:v>0.10621391446572945</c:v>
                </c:pt>
                <c:pt idx="52">
                  <c:v>0.10747551782636942</c:v>
                </c:pt>
                <c:pt idx="53">
                  <c:v>0.10872331446858406</c:v>
                </c:pt>
                <c:pt idx="54">
                  <c:v>0.10995775221901161</c:v>
                </c:pt>
                <c:pt idx="55">
                  <c:v>0.11117925502219643</c:v>
                </c:pt>
                <c:pt idx="56">
                  <c:v>0.11238822469866737</c:v>
                </c:pt>
                <c:pt idx="57">
                  <c:v>0.11358504253898115</c:v>
                </c:pt>
                <c:pt idx="58">
                  <c:v>0.11477007075216955</c:v>
                </c:pt>
                <c:pt idx="59">
                  <c:v>0.11594365378461421</c:v>
                </c:pt>
                <c:pt idx="60">
                  <c:v>0.11710611952331927</c:v>
                </c:pt>
                <c:pt idx="61">
                  <c:v>0.11825778039579579</c:v>
                </c:pt>
                <c:pt idx="62">
                  <c:v>0.11939893437726888</c:v>
                </c:pt>
                <c:pt idx="63">
                  <c:v>0.12052986591462367</c:v>
                </c:pt>
                <c:pt idx="64">
                  <c:v>0.12165084677539198</c:v>
                </c:pt>
                <c:pt idx="65">
                  <c:v>0.12276213682911559</c:v>
                </c:pt>
                <c:pt idx="66">
                  <c:v>0.1238639847675842</c:v>
                </c:pt>
                <c:pt idx="67">
                  <c:v>0.12495662876971905</c:v>
                </c:pt>
                <c:pt idx="68">
                  <c:v>0.12604029711623577</c:v>
                </c:pt>
                <c:pt idx="69">
                  <c:v>0.1271152087586658</c:v>
                </c:pt>
                <c:pt idx="70">
                  <c:v>0.12818157384682768</c:v>
                </c:pt>
                <c:pt idx="71">
                  <c:v>0.12923959421841164</c:v>
                </c:pt>
                <c:pt idx="72">
                  <c:v>0.13028946385396334</c:v>
                </c:pt>
                <c:pt idx="73">
                  <c:v>0.13133136930022096</c:v>
                </c:pt>
                <c:pt idx="74">
                  <c:v>0.13236549006446377</c:v>
                </c:pt>
                <c:pt idx="75">
                  <c:v>0.13339199898227075</c:v>
                </c:pt>
                <c:pt idx="76">
                  <c:v>0.13441106256085536</c:v>
                </c:pt>
                <c:pt idx="77">
                  <c:v>0.13542284129993679</c:v>
                </c:pt>
                <c:pt idx="78">
                  <c:v>0.13642748999192356</c:v>
                </c:pt>
                <c:pt idx="79">
                  <c:v>0.13742515800302219</c:v>
                </c:pt>
                <c:pt idx="80">
                  <c:v>0.13841598953673576</c:v>
                </c:pt>
                <c:pt idx="81">
                  <c:v>0.13940012388108619</c:v>
                </c:pt>
                <c:pt idx="82">
                  <c:v>0.14037769564077643</c:v>
                </c:pt>
                <c:pt idx="83">
                  <c:v>0.14134883495540115</c:v>
                </c:pt>
                <c:pt idx="84">
                  <c:v>0.1423136677047204</c:v>
                </c:pt>
                <c:pt idx="85">
                  <c:v>0.14327231570192409</c:v>
                </c:pt>
                <c:pt idx="86">
                  <c:v>0.14422489687573697</c:v>
                </c:pt>
                <c:pt idx="87">
                  <c:v>0.14517152544214332</c:v>
                </c:pt>
                <c:pt idx="88">
                  <c:v>0.14611231206644842</c:v>
                </c:pt>
                <c:pt idx="89">
                  <c:v>0.14704736401633323</c:v>
                </c:pt>
                <c:pt idx="90">
                  <c:v>0.14797678530650921</c:v>
                </c:pt>
                <c:pt idx="91">
                  <c:v>0.14890067683553107</c:v>
                </c:pt>
                <c:pt idx="92">
                  <c:v>0.1498191365152815</c:v>
                </c:pt>
                <c:pt idx="93">
                  <c:v>0.15073225939360363</c:v>
                </c:pt>
                <c:pt idx="94">
                  <c:v>0.15164013777051985</c:v>
                </c:pt>
                <c:pt idx="95">
                  <c:v>0.15254286130844322</c:v>
                </c:pt>
                <c:pt idx="96">
                  <c:v>0.15344051713675749</c:v>
                </c:pt>
                <c:pt idx="97">
                  <c:v>0.15433318995111442</c:v>
                </c:pt>
                <c:pt idx="98">
                  <c:v>0.15522096210777103</c:v>
                </c:pt>
                <c:pt idx="99">
                  <c:v>0.15610391371326734</c:v>
                </c:pt>
                <c:pt idx="100">
                  <c:v>0.15698212270972309</c:v>
                </c:pt>
                <c:pt idx="101">
                  <c:v>0.15785566495601303</c:v>
                </c:pt>
                <c:pt idx="102">
                  <c:v>0.15958904267748281</c:v>
                </c:pt>
                <c:pt idx="103">
                  <c:v>0.16130461493124751</c:v>
                </c:pt>
                <c:pt idx="104">
                  <c:v>0.16300292102350863</c:v>
                </c:pt>
                <c:pt idx="105">
                  <c:v>0.16468447351334239</c:v>
                </c:pt>
                <c:pt idx="106">
                  <c:v>0.16634976003718643</c:v>
                </c:pt>
                <c:pt idx="107">
                  <c:v>0.16799924497611254</c:v>
                </c:pt>
                <c:pt idx="108">
                  <c:v>0.16963337098215639</c:v>
                </c:pt>
                <c:pt idx="109">
                  <c:v>0.17125256037801795</c:v>
                </c:pt>
                <c:pt idx="110">
                  <c:v>0.17285721644276053</c:v>
                </c:pt>
              </c:numCache>
            </c:numRef>
          </c:yVal>
          <c:smooth val="0"/>
          <c:extLst>
            <c:ext xmlns:c16="http://schemas.microsoft.com/office/drawing/2014/chart" uri="{C3380CC4-5D6E-409C-BE32-E72D297353CC}">
              <c16:uniqueId val="{00000000-723B-4EA2-B761-831A6A8190F4}"/>
            </c:ext>
          </c:extLst>
        </c:ser>
        <c:dLbls>
          <c:showLegendKey val="0"/>
          <c:showVal val="0"/>
          <c:showCatName val="0"/>
          <c:showSerName val="0"/>
          <c:showPercent val="0"/>
          <c:showBubbleSize val="0"/>
        </c:dLbls>
        <c:axId val="631744552"/>
        <c:axId val="631743896"/>
      </c:scatterChart>
      <c:valAx>
        <c:axId val="631744552"/>
        <c:scaling>
          <c:orientation val="minMax"/>
          <c:max val="1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a:t>Current Velocity, Uc (m/s)</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31743896"/>
        <c:crosses val="autoZero"/>
        <c:crossBetween val="midCat"/>
      </c:valAx>
      <c:valAx>
        <c:axId val="631743896"/>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a:t>Combined</a:t>
                </a:r>
                <a:r>
                  <a:rPr lang="en-US" baseline="0"/>
                  <a:t> Rotation at Ends (radians)</a:t>
                </a:r>
                <a:endParaRPr lang="en-US"/>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31744552"/>
        <c:crosses val="autoZero"/>
        <c:crossBetween val="midCat"/>
      </c:valAx>
      <c:spPr>
        <a:noFill/>
        <a:ln w="12700">
          <a:solidFill>
            <a:srgbClr val="808080"/>
          </a:solidFill>
          <a:prstDash val="solid"/>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m!$AF$124:$AO$124</c:f>
              <c:numCache>
                <c:formatCode>General</c:formatCode>
                <c:ptCount val="10"/>
                <c:pt idx="6">
                  <c:v>6.5205799771946335E-2</c:v>
                </c:pt>
                <c:pt idx="7">
                  <c:v>7.7402503059671335E-2</c:v>
                </c:pt>
                <c:pt idx="8">
                  <c:v>8.8907958377130225E-2</c:v>
                </c:pt>
                <c:pt idx="9">
                  <c:v>0.10204074505190215</c:v>
                </c:pt>
              </c:numCache>
            </c:numRef>
          </c:xVal>
          <c:yVal>
            <c:numRef>
              <c:f>m!$AF$95:$AO$95</c:f>
              <c:numCache>
                <c:formatCode>General</c:formatCode>
                <c:ptCount val="10"/>
                <c:pt idx="6">
                  <c:v>6.0414806166082506</c:v>
                </c:pt>
                <c:pt idx="7">
                  <c:v>6.1292359928204512</c:v>
                </c:pt>
                <c:pt idx="8">
                  <c:v>5.2848958185987494</c:v>
                </c:pt>
                <c:pt idx="9">
                  <c:v>4.2979154085934459</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0-09CE-4F21-B956-FAC0586D95FE}"/>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m!$AP$124:$BL$124</c:f>
              <c:numCache>
                <c:formatCode>General</c:formatCode>
                <c:ptCount val="23"/>
                <c:pt idx="0">
                  <c:v>1.4539354437879551E-2</c:v>
                </c:pt>
                <c:pt idx="1">
                  <c:v>3.927648547281596E-2</c:v>
                </c:pt>
                <c:pt idx="2">
                  <c:v>0.11067141489766966</c:v>
                </c:pt>
                <c:pt idx="3">
                  <c:v>0.21562939127163927</c:v>
                </c:pt>
                <c:pt idx="4">
                  <c:v>0.34758246167464379</c:v>
                </c:pt>
                <c:pt idx="6">
                  <c:v>0.61598015967513131</c:v>
                </c:pt>
                <c:pt idx="12">
                  <c:v>1.38872386423108</c:v>
                </c:pt>
                <c:pt idx="19">
                  <c:v>2.6363313219664536E-2</c:v>
                </c:pt>
                <c:pt idx="20">
                  <c:v>7.242979401969861E-2</c:v>
                </c:pt>
                <c:pt idx="21">
                  <c:v>4.1311234755810222E-2</c:v>
                </c:pt>
              </c:numCache>
            </c:numRef>
          </c:xVal>
          <c:yVal>
            <c:numRef>
              <c:f>m!$AP$95:$BL$95</c:f>
              <c:numCache>
                <c:formatCode>General</c:formatCode>
                <c:ptCount val="23"/>
                <c:pt idx="0">
                  <c:v>5.0532147082786567</c:v>
                </c:pt>
                <c:pt idx="1">
                  <c:v>3.6133175421953494</c:v>
                </c:pt>
                <c:pt idx="2">
                  <c:v>4.4434942874585293</c:v>
                </c:pt>
                <c:pt idx="3">
                  <c:v>4.9154385147601225</c:v>
                </c:pt>
                <c:pt idx="4">
                  <c:v>5.3963977447979259</c:v>
                </c:pt>
                <c:pt idx="6">
                  <c:v>3.52255142553093</c:v>
                </c:pt>
                <c:pt idx="12">
                  <c:v>4.1401928182528742</c:v>
                </c:pt>
                <c:pt idx="19">
                  <c:v>4.490854651714832</c:v>
                </c:pt>
                <c:pt idx="20">
                  <c:v>4.8959517967458943</c:v>
                </c:pt>
                <c:pt idx="21">
                  <c:v>3.8939295934451761</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1-09CE-4F21-B956-FAC0586D95FE}"/>
            </c:ext>
          </c:extLst>
        </c:ser>
        <c:ser>
          <c:idx val="11"/>
          <c:order val="2"/>
          <c:tx>
            <c:v>CF, Pipe 1</c:v>
          </c:tx>
          <c:spPr>
            <a:ln w="25400" cap="rnd">
              <a:noFill/>
              <a:round/>
            </a:ln>
            <a:effectLst/>
          </c:spPr>
          <c:marker>
            <c:symbol val="x"/>
            <c:size val="7"/>
            <c:spPr>
              <a:noFill/>
              <a:ln w="15875">
                <a:solidFill>
                  <a:schemeClr val="accent6"/>
                </a:solidFill>
              </a:ln>
              <a:effectLst/>
            </c:spPr>
          </c:marker>
          <c:xVal>
            <c:numRef>
              <c:f>m!$BM$124:$CO$124</c:f>
              <c:numCache>
                <c:formatCode>General</c:formatCode>
                <c:ptCount val="29"/>
                <c:pt idx="0">
                  <c:v>17.957226272703135</c:v>
                </c:pt>
                <c:pt idx="1">
                  <c:v>42.202643718519404</c:v>
                </c:pt>
                <c:pt idx="3">
                  <c:v>10.358249249716478</c:v>
                </c:pt>
                <c:pt idx="4">
                  <c:v>16.340951046107069</c:v>
                </c:pt>
                <c:pt idx="5">
                  <c:v>25.462177311416035</c:v>
                </c:pt>
                <c:pt idx="6">
                  <c:v>32.049376945740669</c:v>
                </c:pt>
                <c:pt idx="7">
                  <c:v>38.550424844650315</c:v>
                </c:pt>
                <c:pt idx="8">
                  <c:v>45.614585564191735</c:v>
                </c:pt>
                <c:pt idx="9">
                  <c:v>54.977683485321265</c:v>
                </c:pt>
                <c:pt idx="10">
                  <c:v>67.337860412664966</c:v>
                </c:pt>
                <c:pt idx="11">
                  <c:v>72.425754889362594</c:v>
                </c:pt>
                <c:pt idx="12">
                  <c:v>72.823285331990604</c:v>
                </c:pt>
                <c:pt idx="13">
                  <c:v>11.138522940632852</c:v>
                </c:pt>
                <c:pt idx="14">
                  <c:v>44.925864168315485</c:v>
                </c:pt>
                <c:pt idx="15">
                  <c:v>46.979757072013314</c:v>
                </c:pt>
                <c:pt idx="16">
                  <c:v>75.493580698873075</c:v>
                </c:pt>
                <c:pt idx="17">
                  <c:v>79.535106287728865</c:v>
                </c:pt>
                <c:pt idx="18">
                  <c:v>86.651219280978623</c:v>
                </c:pt>
                <c:pt idx="19">
                  <c:v>94.256017905432813</c:v>
                </c:pt>
              </c:numCache>
            </c:numRef>
          </c:xVal>
          <c:yVal>
            <c:numRef>
              <c:f>m!$BM$95:$CO$95</c:f>
              <c:numCache>
                <c:formatCode>General</c:formatCode>
                <c:ptCount val="29"/>
                <c:pt idx="0">
                  <c:v>10.120470713192889</c:v>
                </c:pt>
                <c:pt idx="1">
                  <c:v>8.9453772336192614</c:v>
                </c:pt>
                <c:pt idx="3">
                  <c:v>10.611578666711525</c:v>
                </c:pt>
                <c:pt idx="4">
                  <c:v>13.484969152564005</c:v>
                </c:pt>
                <c:pt idx="5">
                  <c:v>9.6684949677469909</c:v>
                </c:pt>
                <c:pt idx="6">
                  <c:v>10.056504925363537</c:v>
                </c:pt>
                <c:pt idx="7">
                  <c:v>11.387889643620143</c:v>
                </c:pt>
                <c:pt idx="8">
                  <c:v>9.5704123434084227</c:v>
                </c:pt>
                <c:pt idx="9">
                  <c:v>9.3655475104383363</c:v>
                </c:pt>
                <c:pt idx="10">
                  <c:v>7.9975610372982713</c:v>
                </c:pt>
                <c:pt idx="11">
                  <c:v>8.2532209331067783</c:v>
                </c:pt>
                <c:pt idx="12">
                  <c:v>7.954322186490991</c:v>
                </c:pt>
                <c:pt idx="13">
                  <c:v>10.007795801208351</c:v>
                </c:pt>
                <c:pt idx="14">
                  <c:v>9.8621963860643529</c:v>
                </c:pt>
                <c:pt idx="15">
                  <c:v>9.4519747608689038</c:v>
                </c:pt>
                <c:pt idx="16">
                  <c:v>7.5048349972577322</c:v>
                </c:pt>
                <c:pt idx="17">
                  <c:v>7.5765537722697776</c:v>
                </c:pt>
                <c:pt idx="18">
                  <c:v>6.4600890770907728</c:v>
                </c:pt>
                <c:pt idx="19">
                  <c:v>6.3590149916729768</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2-09CE-4F21-B956-FAC0586D95FE}"/>
            </c:ext>
          </c:extLst>
        </c:ser>
        <c:ser>
          <c:idx val="13"/>
          <c:order val="3"/>
          <c:tx>
            <c:v>CF, Pipe 2</c:v>
          </c:tx>
          <c:spPr>
            <a:ln w="25400" cap="rnd">
              <a:noFill/>
              <a:round/>
            </a:ln>
            <a:effectLst/>
          </c:spPr>
          <c:marker>
            <c:symbol val="x"/>
            <c:size val="7"/>
            <c:spPr>
              <a:noFill/>
              <a:ln w="15875">
                <a:solidFill>
                  <a:srgbClr val="00B0F0"/>
                </a:solidFill>
              </a:ln>
              <a:effectLst/>
            </c:spPr>
          </c:marker>
          <c:xVal>
            <c:numRef>
              <c:f>m!$CP$124:$DT$124</c:f>
              <c:numCache>
                <c:formatCode>General</c:formatCode>
                <c:ptCount val="31"/>
                <c:pt idx="0">
                  <c:v>0.72064472408069791</c:v>
                </c:pt>
                <c:pt idx="1">
                  <c:v>1.206748053271907</c:v>
                </c:pt>
                <c:pt idx="2">
                  <c:v>1.8139733540157394</c:v>
                </c:pt>
                <c:pt idx="3">
                  <c:v>2.1984921153549268</c:v>
                </c:pt>
                <c:pt idx="4">
                  <c:v>2.7073093757674318</c:v>
                </c:pt>
                <c:pt idx="5">
                  <c:v>3.3590128979885234</c:v>
                </c:pt>
                <c:pt idx="6">
                  <c:v>3.796810213643806</c:v>
                </c:pt>
                <c:pt idx="7">
                  <c:v>3.8302323856806004</c:v>
                </c:pt>
                <c:pt idx="8">
                  <c:v>4.0706003728124864</c:v>
                </c:pt>
                <c:pt idx="9">
                  <c:v>4.7395150599957665</c:v>
                </c:pt>
                <c:pt idx="10">
                  <c:v>4.8111264827097786</c:v>
                </c:pt>
                <c:pt idx="11">
                  <c:v>5.1865340746631343</c:v>
                </c:pt>
                <c:pt idx="12">
                  <c:v>5.1418805183538199</c:v>
                </c:pt>
                <c:pt idx="14">
                  <c:v>5.9227325276004397</c:v>
                </c:pt>
                <c:pt idx="15">
                  <c:v>0.40424764693142068</c:v>
                </c:pt>
                <c:pt idx="18">
                  <c:v>4.3611058589540281</c:v>
                </c:pt>
                <c:pt idx="19">
                  <c:v>4.6459846641579157</c:v>
                </c:pt>
                <c:pt idx="20">
                  <c:v>4.9017519715989586</c:v>
                </c:pt>
                <c:pt idx="21">
                  <c:v>5.1411891031119827</c:v>
                </c:pt>
                <c:pt idx="22">
                  <c:v>5.2562888577425806</c:v>
                </c:pt>
                <c:pt idx="23">
                  <c:v>0.10028206102362201</c:v>
                </c:pt>
                <c:pt idx="24">
                  <c:v>0.32083668757881162</c:v>
                </c:pt>
                <c:pt idx="25">
                  <c:v>0.1705462698960814</c:v>
                </c:pt>
                <c:pt idx="26">
                  <c:v>0.52153424512869873</c:v>
                </c:pt>
                <c:pt idx="27">
                  <c:v>0.26425907916951591</c:v>
                </c:pt>
                <c:pt idx="28">
                  <c:v>4.6714989376463967</c:v>
                </c:pt>
                <c:pt idx="29">
                  <c:v>4.9227980196827357</c:v>
                </c:pt>
              </c:numCache>
            </c:numRef>
          </c:xVal>
          <c:yVal>
            <c:numRef>
              <c:f>m!$CP$95:$DT$95</c:f>
              <c:numCache>
                <c:formatCode>General</c:formatCode>
                <c:ptCount val="31"/>
                <c:pt idx="0">
                  <c:v>7.230064864592558</c:v>
                </c:pt>
                <c:pt idx="1">
                  <c:v>7.8432795970043863</c:v>
                </c:pt>
                <c:pt idx="2">
                  <c:v>7.1611992718238096</c:v>
                </c:pt>
                <c:pt idx="3">
                  <c:v>8.5921413030732001</c:v>
                </c:pt>
                <c:pt idx="4">
                  <c:v>6.661272134560023</c:v>
                </c:pt>
                <c:pt idx="5">
                  <c:v>7.7435399296450607</c:v>
                </c:pt>
                <c:pt idx="6">
                  <c:v>6.1997981508460969</c:v>
                </c:pt>
                <c:pt idx="7">
                  <c:v>7.7408089896434431</c:v>
                </c:pt>
                <c:pt idx="8">
                  <c:v>8.6625983848095451</c:v>
                </c:pt>
                <c:pt idx="9">
                  <c:v>6.621771797238047</c:v>
                </c:pt>
                <c:pt idx="10">
                  <c:v>6.9659330774762003</c:v>
                </c:pt>
                <c:pt idx="11">
                  <c:v>7.1453382407870949</c:v>
                </c:pt>
                <c:pt idx="12">
                  <c:v>8.4516911292205865</c:v>
                </c:pt>
                <c:pt idx="14">
                  <c:v>6.0778760902500926</c:v>
                </c:pt>
                <c:pt idx="15">
                  <c:v>8.6619524722903734</c:v>
                </c:pt>
                <c:pt idx="18">
                  <c:v>7.3483443733593532</c:v>
                </c:pt>
                <c:pt idx="19">
                  <c:v>8.0072612621981989</c:v>
                </c:pt>
                <c:pt idx="20">
                  <c:v>7.0758839302446521</c:v>
                </c:pt>
                <c:pt idx="21">
                  <c:v>6.8389367669751673</c:v>
                </c:pt>
                <c:pt idx="22">
                  <c:v>6.2031731981670291</c:v>
                </c:pt>
                <c:pt idx="23">
                  <c:v>9.608322876774281</c:v>
                </c:pt>
                <c:pt idx="24">
                  <c:v>8.2080991638713332</c:v>
                </c:pt>
                <c:pt idx="25">
                  <c:v>10.795030638909601</c:v>
                </c:pt>
                <c:pt idx="26">
                  <c:v>9.9406684789797772</c:v>
                </c:pt>
                <c:pt idx="27">
                  <c:v>7.6699085645929568</c:v>
                </c:pt>
                <c:pt idx="28">
                  <c:v>6.1233547438995259</c:v>
                </c:pt>
                <c:pt idx="29">
                  <c:v>6.1359189433264092</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3-09CE-4F21-B956-FAC0586D95FE}"/>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m!$DU$124:$DX$124</c:f>
              <c:numCache>
                <c:formatCode>General</c:formatCode>
                <c:ptCount val="4"/>
                <c:pt idx="1">
                  <c:v>0.16702090518094523</c:v>
                </c:pt>
              </c:numCache>
            </c:numRef>
          </c:xVal>
          <c:yVal>
            <c:numRef>
              <c:f>m!$DU$95:$DX$95</c:f>
              <c:numCache>
                <c:formatCode>General</c:formatCode>
                <c:ptCount val="4"/>
                <c:pt idx="1">
                  <c:v>11.627400337732656</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4-09CE-4F21-B956-FAC0586D95FE}"/>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m!$DY$124:$EL$124</c:f>
              <c:numCache>
                <c:formatCode>General</c:formatCode>
                <c:ptCount val="14"/>
                <c:pt idx="0">
                  <c:v>2.490784714635922E-2</c:v>
                </c:pt>
                <c:pt idx="1">
                  <c:v>0.17594051397950725</c:v>
                </c:pt>
                <c:pt idx="2">
                  <c:v>0.28639550689987353</c:v>
                </c:pt>
                <c:pt idx="3">
                  <c:v>0.3852875692671287</c:v>
                </c:pt>
                <c:pt idx="4">
                  <c:v>0.53297912399832204</c:v>
                </c:pt>
                <c:pt idx="5">
                  <c:v>0.65342659186966623</c:v>
                </c:pt>
                <c:pt idx="6">
                  <c:v>0.73686241735550029</c:v>
                </c:pt>
                <c:pt idx="7">
                  <c:v>0.94964735709751236</c:v>
                </c:pt>
                <c:pt idx="8">
                  <c:v>0.8349240894280815</c:v>
                </c:pt>
                <c:pt idx="10">
                  <c:v>1.1827258721533938</c:v>
                </c:pt>
                <c:pt idx="11">
                  <c:v>1.107830999707099</c:v>
                </c:pt>
                <c:pt idx="13">
                  <c:v>1.0554287851308892</c:v>
                </c:pt>
              </c:numCache>
            </c:numRef>
          </c:xVal>
          <c:yVal>
            <c:numRef>
              <c:f>m!$DY$95:$EL$95</c:f>
              <c:numCache>
                <c:formatCode>General</c:formatCode>
                <c:ptCount val="14"/>
                <c:pt idx="0">
                  <c:v>11.841933921401584</c:v>
                </c:pt>
                <c:pt idx="1">
                  <c:v>10.112716420782542</c:v>
                </c:pt>
                <c:pt idx="2">
                  <c:v>10.75326981223963</c:v>
                </c:pt>
                <c:pt idx="3">
                  <c:v>12.593437950738654</c:v>
                </c:pt>
                <c:pt idx="4">
                  <c:v>9.9708079988168254</c:v>
                </c:pt>
                <c:pt idx="5">
                  <c:v>12.57159489291657</c:v>
                </c:pt>
                <c:pt idx="6">
                  <c:v>11.025393435074347</c:v>
                </c:pt>
                <c:pt idx="7">
                  <c:v>8.8729996804417208</c:v>
                </c:pt>
                <c:pt idx="8">
                  <c:v>12.254596368878824</c:v>
                </c:pt>
                <c:pt idx="10">
                  <c:v>9.2304269063872528</c:v>
                </c:pt>
                <c:pt idx="11">
                  <c:v>10.128045629794443</c:v>
                </c:pt>
                <c:pt idx="13">
                  <c:v>8.7481293899266319</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5-09CE-4F21-B956-FAC0586D95FE}"/>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m!$AF$124:$AO$124</c:f>
              <c:numCache>
                <c:formatCode>General</c:formatCode>
                <c:ptCount val="10"/>
                <c:pt idx="6">
                  <c:v>6.5205799771946335E-2</c:v>
                </c:pt>
                <c:pt idx="7">
                  <c:v>7.7402503059671335E-2</c:v>
                </c:pt>
                <c:pt idx="8">
                  <c:v>8.8907958377130225E-2</c:v>
                </c:pt>
                <c:pt idx="9">
                  <c:v>0.10204074505190215</c:v>
                </c:pt>
              </c:numCache>
            </c:numRef>
          </c:xVal>
          <c:yVal>
            <c:numRef>
              <c:f>m!$AF$96:$AO$96</c:f>
              <c:numCache>
                <c:formatCode>General</c:formatCode>
                <c:ptCount val="10"/>
                <c:pt idx="6">
                  <c:v>4.6527598235675249</c:v>
                </c:pt>
                <c:pt idx="7">
                  <c:v>4.2805274655235781</c:v>
                </c:pt>
                <c:pt idx="8">
                  <c:v>3.4393569277814708</c:v>
                </c:pt>
                <c:pt idx="9">
                  <c:v>3.6129037340831314</c:v>
                </c:pt>
              </c:numCache>
            </c:numRef>
          </c:yVal>
          <c:smooth val="0"/>
          <c:extLst>
            <c:ext xmlns:c16="http://schemas.microsoft.com/office/drawing/2014/chart" uri="{C3380CC4-5D6E-409C-BE32-E72D297353CC}">
              <c16:uniqueId val="{00000006-09CE-4F21-B956-FAC0586D95FE}"/>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m!$AP$124:$BL$124</c:f>
              <c:numCache>
                <c:formatCode>General</c:formatCode>
                <c:ptCount val="23"/>
                <c:pt idx="0">
                  <c:v>1.4539354437879551E-2</c:v>
                </c:pt>
                <c:pt idx="1">
                  <c:v>3.927648547281596E-2</c:v>
                </c:pt>
                <c:pt idx="2">
                  <c:v>0.11067141489766966</c:v>
                </c:pt>
                <c:pt idx="3">
                  <c:v>0.21562939127163927</c:v>
                </c:pt>
                <c:pt idx="4">
                  <c:v>0.34758246167464379</c:v>
                </c:pt>
                <c:pt idx="6">
                  <c:v>0.61598015967513131</c:v>
                </c:pt>
                <c:pt idx="12">
                  <c:v>1.38872386423108</c:v>
                </c:pt>
                <c:pt idx="19">
                  <c:v>2.6363313219664536E-2</c:v>
                </c:pt>
                <c:pt idx="20">
                  <c:v>7.242979401969861E-2</c:v>
                </c:pt>
                <c:pt idx="21">
                  <c:v>4.1311234755810222E-2</c:v>
                </c:pt>
              </c:numCache>
            </c:numRef>
          </c:xVal>
          <c:yVal>
            <c:numRef>
              <c:f>m!$AP$96:$BL$96</c:f>
              <c:numCache>
                <c:formatCode>General</c:formatCode>
                <c:ptCount val="23"/>
                <c:pt idx="0">
                  <c:v>5.4755784611121161</c:v>
                </c:pt>
                <c:pt idx="1">
                  <c:v>5.1682826595532747</c:v>
                </c:pt>
                <c:pt idx="2">
                  <c:v>3.0985995787371445</c:v>
                </c:pt>
                <c:pt idx="3">
                  <c:v>3.134879815279314</c:v>
                </c:pt>
                <c:pt idx="4">
                  <c:v>3.0033011206407316</c:v>
                </c:pt>
                <c:pt idx="6">
                  <c:v>2.9529997740314693</c:v>
                </c:pt>
                <c:pt idx="12">
                  <c:v>2.536745078640724</c:v>
                </c:pt>
                <c:pt idx="19">
                  <c:v>5.2461545091174413</c:v>
                </c:pt>
                <c:pt idx="20">
                  <c:v>3.8667689214808134</c:v>
                </c:pt>
                <c:pt idx="21">
                  <c:v>5.2126574434788768</c:v>
                </c:pt>
              </c:numCache>
            </c:numRef>
          </c:yVal>
          <c:smooth val="0"/>
          <c:extLst>
            <c:ext xmlns:c16="http://schemas.microsoft.com/office/drawing/2014/chart" uri="{C3380CC4-5D6E-409C-BE32-E72D297353CC}">
              <c16:uniqueId val="{00000007-09CE-4F21-B956-FAC0586D95FE}"/>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m!$BM$124:$CO$124</c:f>
              <c:numCache>
                <c:formatCode>General</c:formatCode>
                <c:ptCount val="29"/>
                <c:pt idx="0">
                  <c:v>17.957226272703135</c:v>
                </c:pt>
                <c:pt idx="1">
                  <c:v>42.202643718519404</c:v>
                </c:pt>
                <c:pt idx="3">
                  <c:v>10.358249249716478</c:v>
                </c:pt>
                <c:pt idx="4">
                  <c:v>16.340951046107069</c:v>
                </c:pt>
                <c:pt idx="5">
                  <c:v>25.462177311416035</c:v>
                </c:pt>
                <c:pt idx="6">
                  <c:v>32.049376945740669</c:v>
                </c:pt>
                <c:pt idx="7">
                  <c:v>38.550424844650315</c:v>
                </c:pt>
                <c:pt idx="8">
                  <c:v>45.614585564191735</c:v>
                </c:pt>
                <c:pt idx="9">
                  <c:v>54.977683485321265</c:v>
                </c:pt>
                <c:pt idx="10">
                  <c:v>67.337860412664966</c:v>
                </c:pt>
                <c:pt idx="11">
                  <c:v>72.425754889362594</c:v>
                </c:pt>
                <c:pt idx="12">
                  <c:v>72.823285331990604</c:v>
                </c:pt>
                <c:pt idx="13">
                  <c:v>11.138522940632852</c:v>
                </c:pt>
                <c:pt idx="14">
                  <c:v>44.925864168315485</c:v>
                </c:pt>
                <c:pt idx="15">
                  <c:v>46.979757072013314</c:v>
                </c:pt>
                <c:pt idx="16">
                  <c:v>75.493580698873075</c:v>
                </c:pt>
                <c:pt idx="17">
                  <c:v>79.535106287728865</c:v>
                </c:pt>
                <c:pt idx="18">
                  <c:v>86.651219280978623</c:v>
                </c:pt>
                <c:pt idx="19">
                  <c:v>94.256017905432813</c:v>
                </c:pt>
              </c:numCache>
            </c:numRef>
          </c:xVal>
          <c:yVal>
            <c:numRef>
              <c:f>m!$BM$96:$CO$96</c:f>
              <c:numCache>
                <c:formatCode>General</c:formatCode>
                <c:ptCount val="29"/>
                <c:pt idx="0">
                  <c:v>7.7033235890944756</c:v>
                </c:pt>
                <c:pt idx="1">
                  <c:v>9.1444916587946974</c:v>
                </c:pt>
                <c:pt idx="3">
                  <c:v>8.7140648971788437</c:v>
                </c:pt>
                <c:pt idx="4">
                  <c:v>12.927157671770168</c:v>
                </c:pt>
                <c:pt idx="5">
                  <c:v>8.3600761384121469</c:v>
                </c:pt>
                <c:pt idx="6">
                  <c:v>8.9999781210833945</c:v>
                </c:pt>
                <c:pt idx="7">
                  <c:v>11.710147435168425</c:v>
                </c:pt>
                <c:pt idx="8">
                  <c:v>9.6604016799591612</c:v>
                </c:pt>
                <c:pt idx="9">
                  <c:v>8.9844518836473455</c:v>
                </c:pt>
                <c:pt idx="10">
                  <c:v>8.1478940601600911</c:v>
                </c:pt>
                <c:pt idx="11">
                  <c:v>7.9194530647955013</c:v>
                </c:pt>
                <c:pt idx="12">
                  <c:v>8.4688373486197897</c:v>
                </c:pt>
                <c:pt idx="13">
                  <c:v>8.1654266073084845</c:v>
                </c:pt>
                <c:pt idx="14">
                  <c:v>10.157317419596724</c:v>
                </c:pt>
                <c:pt idx="15">
                  <c:v>8.4459765120883326</c:v>
                </c:pt>
                <c:pt idx="16">
                  <c:v>8.8566927659923493</c:v>
                </c:pt>
                <c:pt idx="17">
                  <c:v>7.9864493524762779</c:v>
                </c:pt>
                <c:pt idx="18">
                  <c:v>7.5929751024784267</c:v>
                </c:pt>
                <c:pt idx="19">
                  <c:v>7.0417931291632536</c:v>
                </c:pt>
              </c:numCache>
            </c:numRef>
          </c:yVal>
          <c:smooth val="0"/>
          <c:extLst>
            <c:ext xmlns:c16="http://schemas.microsoft.com/office/drawing/2014/chart" uri="{C3380CC4-5D6E-409C-BE32-E72D297353CC}">
              <c16:uniqueId val="{00000008-09CE-4F21-B956-FAC0586D95FE}"/>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m!$CP$124:$DT$124</c:f>
              <c:numCache>
                <c:formatCode>General</c:formatCode>
                <c:ptCount val="31"/>
                <c:pt idx="0">
                  <c:v>0.72064472408069791</c:v>
                </c:pt>
                <c:pt idx="1">
                  <c:v>1.206748053271907</c:v>
                </c:pt>
                <c:pt idx="2">
                  <c:v>1.8139733540157394</c:v>
                </c:pt>
                <c:pt idx="3">
                  <c:v>2.1984921153549268</c:v>
                </c:pt>
                <c:pt idx="4">
                  <c:v>2.7073093757674318</c:v>
                </c:pt>
                <c:pt idx="5">
                  <c:v>3.3590128979885234</c:v>
                </c:pt>
                <c:pt idx="6">
                  <c:v>3.796810213643806</c:v>
                </c:pt>
                <c:pt idx="7">
                  <c:v>3.8302323856806004</c:v>
                </c:pt>
                <c:pt idx="8">
                  <c:v>4.0706003728124864</c:v>
                </c:pt>
                <c:pt idx="9">
                  <c:v>4.7395150599957665</c:v>
                </c:pt>
                <c:pt idx="10">
                  <c:v>4.8111264827097786</c:v>
                </c:pt>
                <c:pt idx="11">
                  <c:v>5.1865340746631343</c:v>
                </c:pt>
                <c:pt idx="12">
                  <c:v>5.1418805183538199</c:v>
                </c:pt>
                <c:pt idx="14">
                  <c:v>5.9227325276004397</c:v>
                </c:pt>
                <c:pt idx="15">
                  <c:v>0.40424764693142068</c:v>
                </c:pt>
                <c:pt idx="18">
                  <c:v>4.3611058589540281</c:v>
                </c:pt>
                <c:pt idx="19">
                  <c:v>4.6459846641579157</c:v>
                </c:pt>
                <c:pt idx="20">
                  <c:v>4.9017519715989586</c:v>
                </c:pt>
                <c:pt idx="21">
                  <c:v>5.1411891031119827</c:v>
                </c:pt>
                <c:pt idx="22">
                  <c:v>5.2562888577425806</c:v>
                </c:pt>
                <c:pt idx="23">
                  <c:v>0.10028206102362201</c:v>
                </c:pt>
                <c:pt idx="24">
                  <c:v>0.32083668757881162</c:v>
                </c:pt>
                <c:pt idx="25">
                  <c:v>0.1705462698960814</c:v>
                </c:pt>
                <c:pt idx="26">
                  <c:v>0.52153424512869873</c:v>
                </c:pt>
                <c:pt idx="27">
                  <c:v>0.26425907916951591</c:v>
                </c:pt>
                <c:pt idx="28">
                  <c:v>4.6714989376463967</c:v>
                </c:pt>
                <c:pt idx="29">
                  <c:v>4.9227980196827357</c:v>
                </c:pt>
              </c:numCache>
            </c:numRef>
          </c:xVal>
          <c:yVal>
            <c:numRef>
              <c:f>m!$CP$96:$DT$96</c:f>
              <c:numCache>
                <c:formatCode>General</c:formatCode>
                <c:ptCount val="31"/>
                <c:pt idx="0">
                  <c:v>6.6249810457925706</c:v>
                </c:pt>
                <c:pt idx="1">
                  <c:v>5.9447274054537775</c:v>
                </c:pt>
                <c:pt idx="2">
                  <c:v>4.3790295625014277</c:v>
                </c:pt>
                <c:pt idx="3">
                  <c:v>7.0215974595106143</c:v>
                </c:pt>
                <c:pt idx="4">
                  <c:v>5.4768436761823818</c:v>
                </c:pt>
                <c:pt idx="5">
                  <c:v>4.8822056936446092</c:v>
                </c:pt>
                <c:pt idx="6">
                  <c:v>4.4672288224686083</c:v>
                </c:pt>
                <c:pt idx="7">
                  <c:v>6.5369518717044457</c:v>
                </c:pt>
                <c:pt idx="8">
                  <c:v>7.9590472097189648</c:v>
                </c:pt>
                <c:pt idx="9">
                  <c:v>5.4878070883378705</c:v>
                </c:pt>
                <c:pt idx="10">
                  <c:v>6.5026988056572304</c:v>
                </c:pt>
                <c:pt idx="11">
                  <c:v>6.329848379965453</c:v>
                </c:pt>
                <c:pt idx="12">
                  <c:v>6.2013253457317621</c:v>
                </c:pt>
                <c:pt idx="14">
                  <c:v>5.2492619268133645</c:v>
                </c:pt>
                <c:pt idx="15">
                  <c:v>6.3209002515631276</c:v>
                </c:pt>
                <c:pt idx="18">
                  <c:v>6.4868297836002924</c:v>
                </c:pt>
                <c:pt idx="19">
                  <c:v>5.827620282954654</c:v>
                </c:pt>
                <c:pt idx="20">
                  <c:v>7.0663143302767422</c:v>
                </c:pt>
                <c:pt idx="21">
                  <c:v>5.9628619384453367</c:v>
                </c:pt>
                <c:pt idx="22">
                  <c:v>5.5226853762264438</c:v>
                </c:pt>
                <c:pt idx="23">
                  <c:v>9.7019903060697743</c:v>
                </c:pt>
                <c:pt idx="24">
                  <c:v>7.6053639768993335</c:v>
                </c:pt>
                <c:pt idx="25">
                  <c:v>7.5584542426748964</c:v>
                </c:pt>
                <c:pt idx="26">
                  <c:v>6.9427008530083283</c:v>
                </c:pt>
                <c:pt idx="27">
                  <c:v>6.4055240885023839</c:v>
                </c:pt>
                <c:pt idx="28">
                  <c:v>5.9595789339150782</c:v>
                </c:pt>
                <c:pt idx="29">
                  <c:v>5.8625018670641422</c:v>
                </c:pt>
              </c:numCache>
            </c:numRef>
          </c:yVal>
          <c:smooth val="0"/>
          <c:extLst>
            <c:ext xmlns:c16="http://schemas.microsoft.com/office/drawing/2014/chart" uri="{C3380CC4-5D6E-409C-BE32-E72D297353CC}">
              <c16:uniqueId val="{00000009-09CE-4F21-B956-FAC0586D95FE}"/>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m!$DU$124:$DX$124</c:f>
              <c:numCache>
                <c:formatCode>General</c:formatCode>
                <c:ptCount val="4"/>
                <c:pt idx="1">
                  <c:v>0.16702090518094523</c:v>
                </c:pt>
              </c:numCache>
            </c:numRef>
          </c:xVal>
          <c:yVal>
            <c:numRef>
              <c:f>m!$DU$96:$DX$96</c:f>
              <c:numCache>
                <c:formatCode>General</c:formatCode>
                <c:ptCount val="4"/>
                <c:pt idx="1">
                  <c:v>8.5837852954236631</c:v>
                </c:pt>
              </c:numCache>
            </c:numRef>
          </c:yVal>
          <c:smooth val="0"/>
          <c:extLst>
            <c:ext xmlns:c16="http://schemas.microsoft.com/office/drawing/2014/chart" uri="{C3380CC4-5D6E-409C-BE32-E72D297353CC}">
              <c16:uniqueId val="{0000000A-09CE-4F21-B956-FAC0586D95FE}"/>
            </c:ext>
          </c:extLst>
        </c:ser>
        <c:ser>
          <c:idx val="10"/>
          <c:order val="11"/>
          <c:tx>
            <c:v>IL, Pipe 3 Rough</c:v>
          </c:tx>
          <c:spPr>
            <a:ln w="25400" cap="rnd">
              <a:noFill/>
              <a:round/>
            </a:ln>
            <a:effectLst/>
          </c:spPr>
          <c:marker>
            <c:symbol val="circle"/>
            <c:size val="6"/>
            <c:spPr>
              <a:noFill/>
              <a:ln w="19050">
                <a:solidFill>
                  <a:schemeClr val="accent4"/>
                </a:solidFill>
              </a:ln>
              <a:effectLst/>
            </c:spPr>
          </c:marker>
          <c:xVal>
            <c:numRef>
              <c:f>m!$DY$124:$EL$124</c:f>
              <c:numCache>
                <c:formatCode>General</c:formatCode>
                <c:ptCount val="14"/>
                <c:pt idx="0">
                  <c:v>2.490784714635922E-2</c:v>
                </c:pt>
                <c:pt idx="1">
                  <c:v>0.17594051397950725</c:v>
                </c:pt>
                <c:pt idx="2">
                  <c:v>0.28639550689987353</c:v>
                </c:pt>
                <c:pt idx="3">
                  <c:v>0.3852875692671287</c:v>
                </c:pt>
                <c:pt idx="4">
                  <c:v>0.53297912399832204</c:v>
                </c:pt>
                <c:pt idx="5">
                  <c:v>0.65342659186966623</c:v>
                </c:pt>
                <c:pt idx="6">
                  <c:v>0.73686241735550029</c:v>
                </c:pt>
                <c:pt idx="7">
                  <c:v>0.94964735709751236</c:v>
                </c:pt>
                <c:pt idx="8">
                  <c:v>0.8349240894280815</c:v>
                </c:pt>
                <c:pt idx="10">
                  <c:v>1.1827258721533938</c:v>
                </c:pt>
                <c:pt idx="11">
                  <c:v>1.107830999707099</c:v>
                </c:pt>
                <c:pt idx="13">
                  <c:v>1.0554287851308892</c:v>
                </c:pt>
              </c:numCache>
            </c:numRef>
          </c:xVal>
          <c:yVal>
            <c:numRef>
              <c:f>m!$DY$96:$EL$96</c:f>
              <c:numCache>
                <c:formatCode>General</c:formatCode>
                <c:ptCount val="14"/>
                <c:pt idx="0">
                  <c:v>8.0736939293288259</c:v>
                </c:pt>
                <c:pt idx="1">
                  <c:v>8.5723204770723118</c:v>
                </c:pt>
                <c:pt idx="2">
                  <c:v>9.3688715981853772</c:v>
                </c:pt>
                <c:pt idx="3">
                  <c:v>11.808645757253798</c:v>
                </c:pt>
                <c:pt idx="4">
                  <c:v>9.3027335683988124</c:v>
                </c:pt>
                <c:pt idx="5">
                  <c:v>8.8407959437509973</c:v>
                </c:pt>
                <c:pt idx="6">
                  <c:v>9.4797698241348378</c:v>
                </c:pt>
                <c:pt idx="7">
                  <c:v>7.8622566156607085</c:v>
                </c:pt>
                <c:pt idx="8">
                  <c:v>9.6176111415033159</c:v>
                </c:pt>
                <c:pt idx="10">
                  <c:v>7.4199267899654808</c:v>
                </c:pt>
                <c:pt idx="11">
                  <c:v>7.9053481326688049</c:v>
                </c:pt>
                <c:pt idx="13">
                  <c:v>7.3530728474436851</c:v>
                </c:pt>
              </c:numCache>
            </c:numRef>
          </c:yVal>
          <c:smooth val="0"/>
          <c:extLst>
            <c:ext xmlns:c16="http://schemas.microsoft.com/office/drawing/2014/chart" uri="{C3380CC4-5D6E-409C-BE32-E72D297353CC}">
              <c16:uniqueId val="{0000000B-09CE-4F21-B956-FAC0586D95FE}"/>
            </c:ext>
          </c:extLst>
        </c:ser>
        <c:dLbls>
          <c:showLegendKey val="0"/>
          <c:showVal val="0"/>
          <c:showCatName val="0"/>
          <c:showSerName val="0"/>
          <c:showPercent val="0"/>
          <c:showBubbleSize val="0"/>
        </c:dLbls>
        <c:axId val="624399680"/>
        <c:axId val="624400008"/>
        <c:extLst/>
      </c:scatterChart>
      <c:valAx>
        <c:axId val="624399680"/>
        <c:scaling>
          <c:logBase val="10"/>
          <c:orientation val="minMax"/>
          <c:max val="10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Normalized flexural stiffness proportional damping ratio  C̃</a:t>
                </a:r>
                <a:r>
                  <a:rPr lang="en-US" sz="1400" b="0" i="0" u="none" strike="noStrike" baseline="-25000">
                    <a:effectLst/>
                  </a:rPr>
                  <a:t>κ</a:t>
                </a:r>
                <a:r>
                  <a:rPr lang="en-US" sz="1400" b="0" i="0" u="none" strike="noStrike" baseline="0">
                    <a:effectLst/>
                  </a:rPr>
                  <a:t> = π</a:t>
                </a:r>
                <a:r>
                  <a:rPr lang="en-US" sz="1400" b="0" i="0" u="none" strike="noStrike" baseline="30000">
                    <a:effectLst/>
                  </a:rPr>
                  <a:t>3</a:t>
                </a:r>
                <a:r>
                  <a:rPr lang="en-US" sz="1400" b="0" i="0" u="none" strike="noStrike" baseline="0">
                    <a:effectLst/>
                  </a:rPr>
                  <a:t> C</a:t>
                </a:r>
                <a:r>
                  <a:rPr lang="en-US" sz="1400" b="0" i="0" u="none" strike="noStrike" baseline="-25000">
                    <a:effectLst/>
                  </a:rPr>
                  <a:t>κ</a:t>
                </a:r>
                <a:r>
                  <a:rPr lang="en-US" sz="1400" b="0" i="0" u="none" strike="noStrike" baseline="0">
                    <a:effectLst/>
                  </a:rPr>
                  <a:t> c</a:t>
                </a:r>
                <a:r>
                  <a:rPr lang="en-US" sz="1400" b="0" i="0" u="none" strike="noStrike" baseline="-25000">
                    <a:effectLst/>
                  </a:rPr>
                  <a:t>eff</a:t>
                </a:r>
                <a:r>
                  <a:rPr lang="en-US" sz="1400" b="0" i="0" u="none" strike="noStrike" baseline="0">
                    <a:effectLst/>
                  </a:rPr>
                  <a:t>/[EI T</a:t>
                </a:r>
                <a:r>
                  <a:rPr lang="en-US" sz="1400" b="0" i="0" u="none" strike="noStrike" baseline="-25000">
                    <a:effectLst/>
                  </a:rPr>
                  <a:t>st</a:t>
                </a:r>
                <a:r>
                  <a:rPr lang="en-US" sz="1400" b="0" i="0" u="none" strike="noStrike" baseline="0">
                    <a:effectLst/>
                  </a:rPr>
                  <a:t> (1+Ñ)]</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baseline="0">
                    <a:effectLst/>
                  </a:rPr>
                  <a:t>Normalized Fatigue-Equivalent Strain Amplitude,   ϵ̃</a:t>
                </a:r>
                <a:r>
                  <a:rPr lang="en-US" sz="1400" b="0" i="0" baseline="-25000">
                    <a:effectLst/>
                  </a:rPr>
                  <a:t>e</a:t>
                </a:r>
                <a:r>
                  <a:rPr lang="en-US" sz="1400" b="0" i="0" baseline="0">
                    <a:effectLst/>
                  </a:rPr>
                  <a:t> = ϵ</a:t>
                </a:r>
                <a:r>
                  <a:rPr lang="en-US" sz="1400" b="0" i="0" baseline="-25000">
                    <a:effectLst/>
                  </a:rPr>
                  <a:t>e</a:t>
                </a:r>
                <a:r>
                  <a:rPr lang="en-US" sz="1400" b="0" i="0" baseline="0">
                    <a:effectLst/>
                  </a:rPr>
                  <a:t>/(R</a:t>
                </a:r>
                <a:r>
                  <a:rPr lang="en-US" sz="1400" b="0" i="0" baseline="-25000">
                    <a:effectLst/>
                  </a:rPr>
                  <a:t>ϵ</a:t>
                </a:r>
                <a:r>
                  <a:rPr lang="en-US" sz="1400" b="0" i="0" baseline="0">
                    <a:effectLst/>
                  </a:rPr>
                  <a:t>D/L</a:t>
                </a:r>
                <a:r>
                  <a:rPr lang="en-US" sz="1400" b="0" i="0" baseline="-25000">
                    <a:effectLst/>
                  </a:rPr>
                  <a:t>st</a:t>
                </a:r>
                <a:r>
                  <a:rPr lang="en-US" sz="1400" b="0" i="0" baseline="30000">
                    <a:effectLst/>
                  </a:rPr>
                  <a:t>2</a:t>
                </a:r>
                <a:r>
                  <a:rPr lang="en-US" sz="1400" b="0" i="0" baseline="0">
                    <a:effectLst/>
                  </a:rPr>
                  <a:t>)</a:t>
                </a:r>
                <a:endParaRPr lang="en-US" sz="1400">
                  <a:effectLst/>
                </a:endParaRPr>
              </a:p>
            </c:rich>
          </c:tx>
          <c:layout>
            <c:manualLayout>
              <c:xMode val="edge"/>
              <c:yMode val="edge"/>
              <c:x val="1.2786980528916013E-2"/>
              <c:y val="5.1139526362623478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366682879164323E-2"/>
          <c:y val="1.4852801519468186E-2"/>
          <c:w val="0.6763990728204049"/>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extLst xmlns:c15="http://schemas.microsoft.com/office/drawing/2012/chart"/>
            </c:numRef>
          </c:xVal>
          <c:yVal>
            <c:numRef>
              <c:f>m!$AF$177:$AO$177</c:f>
              <c:numCache>
                <c:formatCode>General</c:formatCode>
                <c:ptCount val="10"/>
                <c:pt idx="0">
                  <c:v>0</c:v>
                </c:pt>
                <c:pt idx="1">
                  <c:v>0</c:v>
                </c:pt>
                <c:pt idx="2">
                  <c:v>0</c:v>
                </c:pt>
                <c:pt idx="3">
                  <c:v>0</c:v>
                </c:pt>
                <c:pt idx="4">
                  <c:v>0</c:v>
                </c:pt>
                <c:pt idx="5">
                  <c:v>0</c:v>
                </c:pt>
                <c:pt idx="6">
                  <c:v>1.2504493188320953</c:v>
                </c:pt>
                <c:pt idx="7">
                  <c:v>1.2719478466774394</c:v>
                </c:pt>
                <c:pt idx="8">
                  <c:v>1.0997440614263401</c:v>
                </c:pt>
                <c:pt idx="9">
                  <c:v>0.89544932302474078</c:v>
                </c:pt>
              </c:numCache>
            </c:numRef>
          </c:yVal>
          <c:smooth val="0"/>
          <c:extLst xmlns:c15="http://schemas.microsoft.com/office/drawing/2012/chart">
            <c:ext xmlns:c16="http://schemas.microsoft.com/office/drawing/2014/chart" uri="{C3380CC4-5D6E-409C-BE32-E72D297353CC}">
              <c16:uniqueId val="{00000000-F7B2-4D3E-8429-893A760EAAD3}"/>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extLst xmlns:c15="http://schemas.microsoft.com/office/drawing/2012/chart"/>
            </c:numRef>
          </c:xVal>
          <c:yVal>
            <c:numRef>
              <c:f>m!$AP$177:$BL$177</c:f>
              <c:numCache>
                <c:formatCode>General</c:formatCode>
                <c:ptCount val="23"/>
                <c:pt idx="0">
                  <c:v>0.95254650414994624</c:v>
                </c:pt>
                <c:pt idx="1">
                  <c:v>0.71955651787438579</c:v>
                </c:pt>
                <c:pt idx="2">
                  <c:v>0.93764030778915719</c:v>
                </c:pt>
                <c:pt idx="3">
                  <c:v>1.0779882921360375</c:v>
                </c:pt>
                <c:pt idx="4">
                  <c:v>1.2157964036329778</c:v>
                </c:pt>
                <c:pt idx="5">
                  <c:v>0</c:v>
                </c:pt>
                <c:pt idx="6">
                  <c:v>0.81029874092916165</c:v>
                </c:pt>
                <c:pt idx="7">
                  <c:v>0</c:v>
                </c:pt>
                <c:pt idx="8">
                  <c:v>0</c:v>
                </c:pt>
                <c:pt idx="9">
                  <c:v>0</c:v>
                </c:pt>
                <c:pt idx="10">
                  <c:v>0</c:v>
                </c:pt>
                <c:pt idx="11">
                  <c:v>0</c:v>
                </c:pt>
                <c:pt idx="12">
                  <c:v>0.97798795500503044</c:v>
                </c:pt>
                <c:pt idx="13">
                  <c:v>0</c:v>
                </c:pt>
                <c:pt idx="14">
                  <c:v>0</c:v>
                </c:pt>
                <c:pt idx="15">
                  <c:v>0</c:v>
                </c:pt>
                <c:pt idx="16">
                  <c:v>0</c:v>
                </c:pt>
                <c:pt idx="17">
                  <c:v>0</c:v>
                </c:pt>
                <c:pt idx="18">
                  <c:v>0</c:v>
                </c:pt>
                <c:pt idx="19">
                  <c:v>0.87604427101336213</c:v>
                </c:pt>
                <c:pt idx="20">
                  <c:v>1.0111608235328102</c:v>
                </c:pt>
                <c:pt idx="21">
                  <c:v>0.77947090681673603</c:v>
                </c:pt>
                <c:pt idx="22">
                  <c:v>0</c:v>
                </c:pt>
              </c:numCache>
            </c:numRef>
          </c:yVal>
          <c:smooth val="0"/>
          <c:extLst xmlns:c15="http://schemas.microsoft.com/office/drawing/2012/chart">
            <c:ext xmlns:c16="http://schemas.microsoft.com/office/drawing/2014/chart" uri="{C3380CC4-5D6E-409C-BE32-E72D297353CC}">
              <c16:uniqueId val="{00000001-F7B2-4D3E-8429-893A760EAAD3}"/>
            </c:ext>
          </c:extLst>
        </c:ser>
        <c:ser>
          <c:idx val="11"/>
          <c:order val="2"/>
          <c:tx>
            <c:v>CF, Pipe 1</c:v>
          </c:tx>
          <c:spPr>
            <a:ln w="25400" cap="rnd">
              <a:noFill/>
              <a:round/>
            </a:ln>
            <a:effectLst/>
          </c:spPr>
          <c:marker>
            <c:symbol val="x"/>
            <c:size val="7"/>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extLst xmlns:c15="http://schemas.microsoft.com/office/drawing/2012/chart"/>
            </c:numRef>
          </c:xVal>
          <c:yVal>
            <c:numRef>
              <c:f>m!$BM$177:$CO$177</c:f>
              <c:numCache>
                <c:formatCode>General</c:formatCode>
                <c:ptCount val="29"/>
                <c:pt idx="0">
                  <c:v>1.3182024932036209</c:v>
                </c:pt>
                <c:pt idx="1">
                  <c:v>1.1221276412904142</c:v>
                </c:pt>
                <c:pt idx="2">
                  <c:v>0</c:v>
                </c:pt>
                <c:pt idx="3">
                  <c:v>1.185539605216317</c:v>
                </c:pt>
                <c:pt idx="4">
                  <c:v>1.5373099566545696</c:v>
                </c:pt>
                <c:pt idx="5">
                  <c:v>1.1304566651874037</c:v>
                </c:pt>
                <c:pt idx="6">
                  <c:v>1.1785544215840411</c:v>
                </c:pt>
                <c:pt idx="7">
                  <c:v>1.3346168259773528</c:v>
                </c:pt>
                <c:pt idx="8">
                  <c:v>1.1220764586869179</c:v>
                </c:pt>
                <c:pt idx="9">
                  <c:v>1.1035535139244779</c:v>
                </c:pt>
                <c:pt idx="10">
                  <c:v>0.9353735663786491</c:v>
                </c:pt>
                <c:pt idx="11">
                  <c:v>0.96088052595344386</c:v>
                </c:pt>
                <c:pt idx="12">
                  <c:v>0.9136088779367052</c:v>
                </c:pt>
                <c:pt idx="13">
                  <c:v>1.1317635372028647</c:v>
                </c:pt>
                <c:pt idx="14">
                  <c:v>1.1573628520073254</c:v>
                </c:pt>
                <c:pt idx="15">
                  <c:v>1.1210614110647046</c:v>
                </c:pt>
                <c:pt idx="16">
                  <c:v>0.86967970943819317</c:v>
                </c:pt>
                <c:pt idx="17">
                  <c:v>0.8683408879379193</c:v>
                </c:pt>
                <c:pt idx="18">
                  <c:v>0.74067410980884485</c:v>
                </c:pt>
                <c:pt idx="19">
                  <c:v>0.72879417942715252</c:v>
                </c:pt>
                <c:pt idx="20">
                  <c:v>0</c:v>
                </c:pt>
                <c:pt idx="21">
                  <c:v>0</c:v>
                </c:pt>
                <c:pt idx="22">
                  <c:v>0</c:v>
                </c:pt>
                <c:pt idx="23">
                  <c:v>0</c:v>
                </c:pt>
                <c:pt idx="24">
                  <c:v>0</c:v>
                </c:pt>
                <c:pt idx="25">
                  <c:v>0</c:v>
                </c:pt>
                <c:pt idx="26">
                  <c:v>0</c:v>
                </c:pt>
                <c:pt idx="27">
                  <c:v>0</c:v>
                </c:pt>
                <c:pt idx="28">
                  <c:v>0</c:v>
                </c:pt>
              </c:numCache>
            </c:numRef>
          </c:yVal>
          <c:smooth val="0"/>
          <c:extLst xmlns:c15="http://schemas.microsoft.com/office/drawing/2012/chart">
            <c:ext xmlns:c16="http://schemas.microsoft.com/office/drawing/2014/chart" uri="{C3380CC4-5D6E-409C-BE32-E72D297353CC}">
              <c16:uniqueId val="{00000002-F7B2-4D3E-8429-893A760EAAD3}"/>
            </c:ext>
          </c:extLst>
        </c:ser>
        <c:ser>
          <c:idx val="13"/>
          <c:order val="3"/>
          <c:tx>
            <c:v>CF, Pipe 2</c:v>
          </c:tx>
          <c:spPr>
            <a:ln w="25400" cap="rnd">
              <a:noFill/>
              <a:round/>
            </a:ln>
            <a:effectLst/>
          </c:spPr>
          <c:marker>
            <c:symbol val="x"/>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extLst xmlns:c15="http://schemas.microsoft.com/office/drawing/2012/chart"/>
            </c:numRef>
          </c:xVal>
          <c:yVal>
            <c:numRef>
              <c:f>m!$CP$177:$DT$177</c:f>
              <c:numCache>
                <c:formatCode>General</c:formatCode>
                <c:ptCount val="31"/>
                <c:pt idx="0">
                  <c:v>0.95380258913805416</c:v>
                </c:pt>
                <c:pt idx="1">
                  <c:v>1.0577094870806243</c:v>
                </c:pt>
                <c:pt idx="2">
                  <c:v>0.98198053879286307</c:v>
                </c:pt>
                <c:pt idx="3">
                  <c:v>1.1716740573870494</c:v>
                </c:pt>
                <c:pt idx="4">
                  <c:v>0.90898686266233641</c:v>
                </c:pt>
                <c:pt idx="5">
                  <c:v>1.0631594226801975</c:v>
                </c:pt>
                <c:pt idx="6">
                  <c:v>0.84752329619183908</c:v>
                </c:pt>
                <c:pt idx="7">
                  <c:v>1.0397108431987165</c:v>
                </c:pt>
                <c:pt idx="8">
                  <c:v>1.1532661945565772</c:v>
                </c:pt>
                <c:pt idx="9">
                  <c:v>0.88731997841290744</c:v>
                </c:pt>
                <c:pt idx="10">
                  <c:v>0.92208238831437284</c:v>
                </c:pt>
                <c:pt idx="11">
                  <c:v>0.94333147342739687</c:v>
                </c:pt>
                <c:pt idx="12">
                  <c:v>1.1011536783458638</c:v>
                </c:pt>
                <c:pt idx="13">
                  <c:v>0</c:v>
                </c:pt>
                <c:pt idx="14">
                  <c:v>0.79429763001554599</c:v>
                </c:pt>
                <c:pt idx="15">
                  <c:v>1.1354835157860022</c:v>
                </c:pt>
                <c:pt idx="16">
                  <c:v>0</c:v>
                </c:pt>
                <c:pt idx="17">
                  <c:v>0</c:v>
                </c:pt>
                <c:pt idx="18">
                  <c:v>0.99596827245156949</c:v>
                </c:pt>
                <c:pt idx="19">
                  <c:v>1.0694226971081566</c:v>
                </c:pt>
                <c:pt idx="20">
                  <c:v>0.93229043501485054</c:v>
                </c:pt>
                <c:pt idx="21">
                  <c:v>0.88969661765869312</c:v>
                </c:pt>
                <c:pt idx="22">
                  <c:v>0.79514712178274638</c:v>
                </c:pt>
                <c:pt idx="23">
                  <c:v>1.137438074738921</c:v>
                </c:pt>
                <c:pt idx="24">
                  <c:v>1.0334843047009952</c:v>
                </c:pt>
                <c:pt idx="25">
                  <c:v>1.3154449639682533</c:v>
                </c:pt>
                <c:pt idx="26">
                  <c:v>1.2833178483930057</c:v>
                </c:pt>
                <c:pt idx="27">
                  <c:v>0.95639937095235283</c:v>
                </c:pt>
                <c:pt idx="28">
                  <c:v>0.90715276167684766</c:v>
                </c:pt>
                <c:pt idx="29">
                  <c:v>0.87829299267035787</c:v>
                </c:pt>
                <c:pt idx="30">
                  <c:v>0</c:v>
                </c:pt>
              </c:numCache>
            </c:numRef>
          </c:yVal>
          <c:smooth val="0"/>
          <c:extLst xmlns:c15="http://schemas.microsoft.com/office/drawing/2012/chart">
            <c:ext xmlns:c16="http://schemas.microsoft.com/office/drawing/2014/chart" uri="{C3380CC4-5D6E-409C-BE32-E72D297353CC}">
              <c16:uniqueId val="{00000003-F7B2-4D3E-8429-893A760EAAD3}"/>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m!$DU$86:$DX$86</c:f>
              <c:numCache>
                <c:formatCode>General</c:formatCode>
                <c:ptCount val="4"/>
                <c:pt idx="1">
                  <c:v>3.8469075681895233</c:v>
                </c:pt>
              </c:numCache>
              <c:extLst xmlns:c15="http://schemas.microsoft.com/office/drawing/2012/chart"/>
            </c:numRef>
          </c:xVal>
          <c:yVal>
            <c:numRef>
              <c:f>m!$DU$177:$DX$177</c:f>
              <c:numCache>
                <c:formatCode>General</c:formatCode>
                <c:ptCount val="4"/>
                <c:pt idx="0">
                  <c:v>0</c:v>
                </c:pt>
                <c:pt idx="1">
                  <c:v>0.99562738032168752</c:v>
                </c:pt>
                <c:pt idx="2">
                  <c:v>0</c:v>
                </c:pt>
                <c:pt idx="3">
                  <c:v>0</c:v>
                </c:pt>
              </c:numCache>
            </c:numRef>
          </c:yVal>
          <c:smooth val="0"/>
          <c:extLst xmlns:c15="http://schemas.microsoft.com/office/drawing/2012/chart">
            <c:ext xmlns:c16="http://schemas.microsoft.com/office/drawing/2014/chart" uri="{C3380CC4-5D6E-409C-BE32-E72D297353CC}">
              <c16:uniqueId val="{00000004-F7B2-4D3E-8429-893A760EAAD3}"/>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m!$DY$177:$EL$177</c:f>
              <c:numCache>
                <c:formatCode>General</c:formatCode>
                <c:ptCount val="14"/>
                <c:pt idx="0">
                  <c:v>0.92285893047617429</c:v>
                </c:pt>
                <c:pt idx="1">
                  <c:v>0.86919501162376633</c:v>
                </c:pt>
                <c:pt idx="2">
                  <c:v>0.94567938695553666</c:v>
                </c:pt>
                <c:pt idx="3">
                  <c:v>1.1135244605883576</c:v>
                </c:pt>
                <c:pt idx="4">
                  <c:v>0.89361205967626067</c:v>
                </c:pt>
                <c:pt idx="5">
                  <c:v>1.1283291991804822</c:v>
                </c:pt>
                <c:pt idx="6">
                  <c:v>0.98336880047099939</c:v>
                </c:pt>
                <c:pt idx="7">
                  <c:v>0.80110828404663281</c:v>
                </c:pt>
                <c:pt idx="8">
                  <c:v>1.1583834213756572</c:v>
                </c:pt>
                <c:pt idx="9">
                  <c:v>0</c:v>
                </c:pt>
                <c:pt idx="10">
                  <c:v>0.85717419634745307</c:v>
                </c:pt>
                <c:pt idx="11">
                  <c:v>0.92086126571049531</c:v>
                </c:pt>
                <c:pt idx="12">
                  <c:v>0</c:v>
                </c:pt>
                <c:pt idx="13">
                  <c:v>0.83754083252615164</c:v>
                </c:pt>
              </c:numCache>
            </c:numRef>
          </c:yVal>
          <c:smooth val="0"/>
          <c:extLst xmlns:c15="http://schemas.microsoft.com/office/drawing/2012/chart">
            <c:ext xmlns:c16="http://schemas.microsoft.com/office/drawing/2014/chart" uri="{C3380CC4-5D6E-409C-BE32-E72D297353CC}">
              <c16:uniqueId val="{00000005-F7B2-4D3E-8429-893A760EAAD3}"/>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numRef>
          </c:xVal>
          <c:yVal>
            <c:numRef>
              <c:f>m!$AF$178:$AO$178</c:f>
              <c:numCache>
                <c:formatCode>General</c:formatCode>
                <c:ptCount val="10"/>
                <c:pt idx="0">
                  <c:v>0</c:v>
                </c:pt>
                <c:pt idx="1">
                  <c:v>0</c:v>
                </c:pt>
                <c:pt idx="2">
                  <c:v>0</c:v>
                </c:pt>
                <c:pt idx="3">
                  <c:v>0</c:v>
                </c:pt>
                <c:pt idx="4">
                  <c:v>0</c:v>
                </c:pt>
                <c:pt idx="5">
                  <c:v>0</c:v>
                </c:pt>
                <c:pt idx="6">
                  <c:v>1.4428845618307424</c:v>
                </c:pt>
                <c:pt idx="7">
                  <c:v>1.3314746277877596</c:v>
                </c:pt>
                <c:pt idx="8">
                  <c:v>1.0733573368820011</c:v>
                </c:pt>
                <c:pt idx="9">
                  <c:v>1.1288756732543508</c:v>
                </c:pt>
              </c:numCache>
            </c:numRef>
          </c:yVal>
          <c:smooth val="0"/>
          <c:extLst>
            <c:ext xmlns:c16="http://schemas.microsoft.com/office/drawing/2014/chart" uri="{C3380CC4-5D6E-409C-BE32-E72D297353CC}">
              <c16:uniqueId val="{00000006-F7B2-4D3E-8429-893A760EAAD3}"/>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f>m!$AP$178:$BL$178</c:f>
              <c:numCache>
                <c:formatCode>General</c:formatCode>
                <c:ptCount val="23"/>
                <c:pt idx="0">
                  <c:v>1.1434737412987843</c:v>
                </c:pt>
                <c:pt idx="1">
                  <c:v>1.1603246789431139</c:v>
                </c:pt>
                <c:pt idx="2">
                  <c:v>0.75085996136807243</c:v>
                </c:pt>
                <c:pt idx="3">
                  <c:v>0.79926837035524634</c:v>
                </c:pt>
                <c:pt idx="4">
                  <c:v>0.79337216011006206</c:v>
                </c:pt>
                <c:pt idx="5">
                  <c:v>0</c:v>
                </c:pt>
                <c:pt idx="6">
                  <c:v>0.80117991581145331</c:v>
                </c:pt>
                <c:pt idx="7">
                  <c:v>0</c:v>
                </c:pt>
                <c:pt idx="8">
                  <c:v>0</c:v>
                </c:pt>
                <c:pt idx="9">
                  <c:v>0</c:v>
                </c:pt>
                <c:pt idx="10">
                  <c:v>0</c:v>
                </c:pt>
                <c:pt idx="11">
                  <c:v>0</c:v>
                </c:pt>
                <c:pt idx="12">
                  <c:v>0.71184016598903344</c:v>
                </c:pt>
                <c:pt idx="13">
                  <c:v>0</c:v>
                </c:pt>
                <c:pt idx="14">
                  <c:v>0</c:v>
                </c:pt>
                <c:pt idx="15">
                  <c:v>0</c:v>
                </c:pt>
                <c:pt idx="16">
                  <c:v>0</c:v>
                </c:pt>
                <c:pt idx="17">
                  <c:v>0</c:v>
                </c:pt>
                <c:pt idx="18">
                  <c:v>0</c:v>
                </c:pt>
                <c:pt idx="19">
                  <c:v>1.1462837562740786</c:v>
                </c:pt>
                <c:pt idx="20">
                  <c:v>0.91096113150279234</c:v>
                </c:pt>
                <c:pt idx="21">
                  <c:v>1.1784763852791855</c:v>
                </c:pt>
                <c:pt idx="22">
                  <c:v>0</c:v>
                </c:pt>
              </c:numCache>
            </c:numRef>
          </c:yVal>
          <c:smooth val="0"/>
          <c:extLst>
            <c:ext xmlns:c16="http://schemas.microsoft.com/office/drawing/2014/chart" uri="{C3380CC4-5D6E-409C-BE32-E72D297353CC}">
              <c16:uniqueId val="{00000007-F7B2-4D3E-8429-893A760EAAD3}"/>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numRef>
          </c:xVal>
          <c:yVal>
            <c:numRef>
              <c:f>m!$BM$178:$CO$178</c:f>
              <c:numCache>
                <c:formatCode>General</c:formatCode>
                <c:ptCount val="29"/>
                <c:pt idx="0">
                  <c:v>1.0946001921845179</c:v>
                </c:pt>
                <c:pt idx="1">
                  <c:v>1.2306959169976603</c:v>
                </c:pt>
                <c:pt idx="2">
                  <c:v>0</c:v>
                </c:pt>
                <c:pt idx="3">
                  <c:v>1.0059508740029601</c:v>
                </c:pt>
                <c:pt idx="4">
                  <c:v>1.5321964652321252</c:v>
                </c:pt>
                <c:pt idx="5">
                  <c:v>1.0245241971663972</c:v>
                </c:pt>
                <c:pt idx="6">
                  <c:v>1.1056808731928525</c:v>
                </c:pt>
                <c:pt idx="7">
                  <c:v>1.4378597548228722</c:v>
                </c:pt>
                <c:pt idx="8">
                  <c:v>1.1862249416212061</c:v>
                </c:pt>
                <c:pt idx="9">
                  <c:v>1.1101728340253372</c:v>
                </c:pt>
                <c:pt idx="10">
                  <c:v>0.99592362444961458</c:v>
                </c:pt>
                <c:pt idx="11">
                  <c:v>0.96170801524577387</c:v>
                </c:pt>
                <c:pt idx="12">
                  <c:v>1.009421824786171</c:v>
                </c:pt>
                <c:pt idx="13">
                  <c:v>0.95821393303061442</c:v>
                </c:pt>
                <c:pt idx="14">
                  <c:v>1.2488091863631829</c:v>
                </c:pt>
                <c:pt idx="15">
                  <c:v>1.0535324015881229</c:v>
                </c:pt>
                <c:pt idx="16">
                  <c:v>1.0684884262797438</c:v>
                </c:pt>
                <c:pt idx="17">
                  <c:v>0.94885273267210579</c:v>
                </c:pt>
                <c:pt idx="18">
                  <c:v>0.90231708083916617</c:v>
                </c:pt>
                <c:pt idx="19">
                  <c:v>0.83613329164654704</c:v>
                </c:pt>
                <c:pt idx="20">
                  <c:v>0</c:v>
                </c:pt>
                <c:pt idx="21">
                  <c:v>0</c:v>
                </c:pt>
                <c:pt idx="22">
                  <c:v>0</c:v>
                </c:pt>
                <c:pt idx="23">
                  <c:v>0</c:v>
                </c:pt>
                <c:pt idx="24">
                  <c:v>0</c:v>
                </c:pt>
                <c:pt idx="25">
                  <c:v>0</c:v>
                </c:pt>
                <c:pt idx="26">
                  <c:v>0</c:v>
                </c:pt>
                <c:pt idx="27">
                  <c:v>0</c:v>
                </c:pt>
                <c:pt idx="28">
                  <c:v>0</c:v>
                </c:pt>
              </c:numCache>
            </c:numRef>
          </c:yVal>
          <c:smooth val="0"/>
          <c:extLst>
            <c:ext xmlns:c16="http://schemas.microsoft.com/office/drawing/2014/chart" uri="{C3380CC4-5D6E-409C-BE32-E72D297353CC}">
              <c16:uniqueId val="{00000008-F7B2-4D3E-8429-893A760EAAD3}"/>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numRef>
          </c:xVal>
          <c:yVal>
            <c:numRef>
              <c:f>m!$CP$178:$DT$178</c:f>
              <c:numCache>
                <c:formatCode>General</c:formatCode>
                <c:ptCount val="31"/>
                <c:pt idx="0">
                  <c:v>1.0356804045700168</c:v>
                </c:pt>
                <c:pt idx="1">
                  <c:v>0.95631753423814858</c:v>
                </c:pt>
                <c:pt idx="2">
                  <c:v>0.71987457368803087</c:v>
                </c:pt>
                <c:pt idx="3">
                  <c:v>1.1448147847317853</c:v>
                </c:pt>
                <c:pt idx="4">
                  <c:v>0.89320184393737045</c:v>
                </c:pt>
                <c:pt idx="5">
                  <c:v>0.80238617617598518</c:v>
                </c:pt>
                <c:pt idx="6">
                  <c:v>0.72952468150675953</c:v>
                </c:pt>
                <c:pt idx="7">
                  <c:v>1.0419372792177088</c:v>
                </c:pt>
                <c:pt idx="8">
                  <c:v>1.2529980432324008</c:v>
                </c:pt>
                <c:pt idx="9">
                  <c:v>0.87124334834961936</c:v>
                </c:pt>
                <c:pt idx="10">
                  <c:v>1.0150700172038449</c:v>
                </c:pt>
                <c:pt idx="11">
                  <c:v>0.98423609073731577</c:v>
                </c:pt>
                <c:pt idx="12">
                  <c:v>0.94689651581279899</c:v>
                </c:pt>
                <c:pt idx="13">
                  <c:v>0</c:v>
                </c:pt>
                <c:pt idx="14">
                  <c:v>0.80484076460643661</c:v>
                </c:pt>
                <c:pt idx="15">
                  <c:v>0.981107162580099</c:v>
                </c:pt>
                <c:pt idx="16">
                  <c:v>0</c:v>
                </c:pt>
                <c:pt idx="17">
                  <c:v>0</c:v>
                </c:pt>
                <c:pt idx="18">
                  <c:v>1.0445108285675773</c:v>
                </c:pt>
                <c:pt idx="19">
                  <c:v>0.91939270496999537</c:v>
                </c:pt>
                <c:pt idx="20">
                  <c:v>1.0940228759800361</c:v>
                </c:pt>
                <c:pt idx="21">
                  <c:v>0.90706936825465501</c:v>
                </c:pt>
                <c:pt idx="22">
                  <c:v>0.82315974103961287</c:v>
                </c:pt>
                <c:pt idx="23">
                  <c:v>1.3149140796475323</c:v>
                </c:pt>
                <c:pt idx="24">
                  <c:v>1.1179669530191298</c:v>
                </c:pt>
                <c:pt idx="25">
                  <c:v>1.0642350604320641</c:v>
                </c:pt>
                <c:pt idx="26">
                  <c:v>1.0546412056655325</c:v>
                </c:pt>
                <c:pt idx="27">
                  <c:v>0.92966418565449049</c:v>
                </c:pt>
                <c:pt idx="28">
                  <c:v>1.083014660089658</c:v>
                </c:pt>
                <c:pt idx="29">
                  <c:v>1.0160617900647577</c:v>
                </c:pt>
                <c:pt idx="30">
                  <c:v>0</c:v>
                </c:pt>
              </c:numCache>
            </c:numRef>
          </c:yVal>
          <c:smooth val="0"/>
          <c:extLst>
            <c:ext xmlns:c16="http://schemas.microsoft.com/office/drawing/2014/chart" uri="{C3380CC4-5D6E-409C-BE32-E72D297353CC}">
              <c16:uniqueId val="{00000009-F7B2-4D3E-8429-893A760EAAD3}"/>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m!$DU$86:$DX$86</c:f>
              <c:numCache>
                <c:formatCode>General</c:formatCode>
                <c:ptCount val="4"/>
                <c:pt idx="1">
                  <c:v>3.8469075681895233</c:v>
                </c:pt>
              </c:numCache>
            </c:numRef>
          </c:xVal>
          <c:yVal>
            <c:numRef>
              <c:f>m!$DU$178:$DX$178</c:f>
              <c:numCache>
                <c:formatCode>General</c:formatCode>
                <c:ptCount val="4"/>
                <c:pt idx="0">
                  <c:v>0</c:v>
                </c:pt>
                <c:pt idx="1">
                  <c:v>0.8862495120243129</c:v>
                </c:pt>
                <c:pt idx="2">
                  <c:v>0</c:v>
                </c:pt>
                <c:pt idx="3">
                  <c:v>0</c:v>
                </c:pt>
              </c:numCache>
            </c:numRef>
          </c:yVal>
          <c:smooth val="0"/>
          <c:extLst>
            <c:ext xmlns:c16="http://schemas.microsoft.com/office/drawing/2014/chart" uri="{C3380CC4-5D6E-409C-BE32-E72D297353CC}">
              <c16:uniqueId val="{0000000A-F7B2-4D3E-8429-893A760EAAD3}"/>
            </c:ext>
          </c:extLst>
        </c:ser>
        <c:ser>
          <c:idx val="10"/>
          <c:order val="11"/>
          <c:tx>
            <c:v>IL, Pipe 3 Rough</c:v>
          </c:tx>
          <c:spPr>
            <a:ln w="25400" cap="rnd">
              <a:noFill/>
              <a:round/>
            </a:ln>
            <a:effectLst/>
          </c:spPr>
          <c:marker>
            <c:symbol val="circle"/>
            <c:size val="7"/>
            <c:spPr>
              <a:noFill/>
              <a:ln w="1905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m!$DY$178:$EL$178</c:f>
              <c:numCache>
                <c:formatCode>General</c:formatCode>
                <c:ptCount val="14"/>
                <c:pt idx="0">
                  <c:v>0.73665590891714505</c:v>
                </c:pt>
                <c:pt idx="1">
                  <c:v>0.88957424489989378</c:v>
                </c:pt>
                <c:pt idx="2">
                  <c:v>1.0018635157591069</c:v>
                </c:pt>
                <c:pt idx="3">
                  <c:v>1.2710501443499926</c:v>
                </c:pt>
                <c:pt idx="4">
                  <c:v>1.0190543544811204</c:v>
                </c:pt>
                <c:pt idx="5">
                  <c:v>0.96977545369811868</c:v>
                </c:pt>
                <c:pt idx="6">
                  <c:v>1.0305663751547527</c:v>
                </c:pt>
                <c:pt idx="7">
                  <c:v>0.86850211015869572</c:v>
                </c:pt>
                <c:pt idx="8">
                  <c:v>1.1302929219653506</c:v>
                </c:pt>
                <c:pt idx="9">
                  <c:v>0</c:v>
                </c:pt>
                <c:pt idx="10">
                  <c:v>0.85007911613758247</c:v>
                </c:pt>
                <c:pt idx="11">
                  <c:v>0.87994363144023913</c:v>
                </c:pt>
                <c:pt idx="12">
                  <c:v>0</c:v>
                </c:pt>
                <c:pt idx="13">
                  <c:v>0.87878271976204825</c:v>
                </c:pt>
              </c:numCache>
            </c:numRef>
          </c:yVal>
          <c:smooth val="0"/>
          <c:extLst>
            <c:ext xmlns:c16="http://schemas.microsoft.com/office/drawing/2014/chart" uri="{C3380CC4-5D6E-409C-BE32-E72D297353CC}">
              <c16:uniqueId val="{0000000B-F7B2-4D3E-8429-893A760EAAD3}"/>
            </c:ext>
          </c:extLst>
        </c:ser>
        <c:dLbls>
          <c:showLegendKey val="0"/>
          <c:showVal val="0"/>
          <c:showCatName val="0"/>
          <c:showSerName val="0"/>
          <c:showPercent val="0"/>
          <c:showBubbleSize val="0"/>
        </c:dLbls>
        <c:axId val="624399680"/>
        <c:axId val="624400008"/>
        <c:extLst/>
      </c:scatterChart>
      <c:valAx>
        <c:axId val="624399680"/>
        <c:scaling>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Normalized Span Length, L̃ = L/L</a:t>
                </a:r>
                <a:r>
                  <a:rPr lang="en-US" sz="1800" baseline="-25000">
                    <a:effectLst/>
                  </a:rPr>
                  <a:t>st</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Ratio Actual/Fitted Fatigue-Equivalent Strain</a:t>
                </a:r>
                <a:endParaRPr lang="en-US" sz="1400">
                  <a:effectLst/>
                </a:endParaRPr>
              </a:p>
            </c:rich>
          </c:tx>
          <c:layout>
            <c:manualLayout>
              <c:xMode val="edge"/>
              <c:yMode val="edge"/>
              <c:x val="1.278701598026457E-2"/>
              <c:y val="0.19548900404543448"/>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1741397517297"/>
          <c:y val="2.4349477682811017E-2"/>
          <c:w val="0.65859161594783955"/>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extLst xmlns:c15="http://schemas.microsoft.com/office/drawing/2012/chart"/>
            </c:numRef>
          </c:xVal>
          <c:yVal>
            <c:numRef>
              <c:f>m!$AF$154:$AO$154</c:f>
              <c:numCache>
                <c:formatCode>General</c:formatCode>
                <c:ptCount val="10"/>
                <c:pt idx="6">
                  <c:v>1.0855162560511404</c:v>
                </c:pt>
                <c:pt idx="7">
                  <c:v>1.14544747860407</c:v>
                </c:pt>
                <c:pt idx="8">
                  <c:v>1.0017415742345894</c:v>
                </c:pt>
                <c:pt idx="9">
                  <c:v>0.82404511814224779</c:v>
                </c:pt>
              </c:numCache>
            </c:numRef>
          </c:yVal>
          <c:smooth val="0"/>
          <c:extLst xmlns:c15="http://schemas.microsoft.com/office/drawing/2012/chart">
            <c:ext xmlns:c16="http://schemas.microsoft.com/office/drawing/2014/chart" uri="{C3380CC4-5D6E-409C-BE32-E72D297353CC}">
              <c16:uniqueId val="{00000000-3695-4667-B1B9-5BA046056502}"/>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extLst xmlns:c15="http://schemas.microsoft.com/office/drawing/2012/chart"/>
            </c:numRef>
          </c:xVal>
          <c:yVal>
            <c:numRef>
              <c:f>m!$AP$154:$BL$154</c:f>
              <c:numCache>
                <c:formatCode>General</c:formatCode>
                <c:ptCount val="23"/>
                <c:pt idx="0">
                  <c:v>0.87631783734472901</c:v>
                </c:pt>
                <c:pt idx="1">
                  <c:v>0.80560945574392395</c:v>
                </c:pt>
                <c:pt idx="2">
                  <c:v>0.64814550605231636</c:v>
                </c:pt>
                <c:pt idx="3">
                  <c:v>0.67524874836408133</c:v>
                </c:pt>
                <c:pt idx="4">
                  <c:v>0.78848727296825472</c:v>
                </c:pt>
                <c:pt idx="6">
                  <c:v>0.49958403749002128</c:v>
                </c:pt>
                <c:pt idx="12">
                  <c:v>0.51000192077064554</c:v>
                </c:pt>
                <c:pt idx="19">
                  <c:v>0.99727204166249694</c:v>
                </c:pt>
                <c:pt idx="20">
                  <c:v>0.76217070013545218</c:v>
                </c:pt>
                <c:pt idx="21">
                  <c:v>0.86760675019815048</c:v>
                </c:pt>
              </c:numCache>
            </c:numRef>
          </c:yVal>
          <c:smooth val="0"/>
          <c:extLst xmlns:c15="http://schemas.microsoft.com/office/drawing/2012/chart">
            <c:ext xmlns:c16="http://schemas.microsoft.com/office/drawing/2014/chart" uri="{C3380CC4-5D6E-409C-BE32-E72D297353CC}">
              <c16:uniqueId val="{00000001-3695-4667-B1B9-5BA046056502}"/>
            </c:ext>
          </c:extLst>
        </c:ser>
        <c:ser>
          <c:idx val="11"/>
          <c:order val="2"/>
          <c:tx>
            <c:v>CF, Pipe 1</c:v>
          </c:tx>
          <c:spPr>
            <a:ln w="25400" cap="rnd">
              <a:noFill/>
              <a:round/>
            </a:ln>
            <a:effectLst/>
          </c:spPr>
          <c:marker>
            <c:symbol val="x"/>
            <c:size val="7"/>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extLst xmlns:c15="http://schemas.microsoft.com/office/drawing/2012/chart"/>
            </c:numRef>
          </c:xVal>
          <c:yVal>
            <c:numRef>
              <c:f>m!$BM$154:$CO$154</c:f>
              <c:numCache>
                <c:formatCode>General</c:formatCode>
                <c:ptCount val="29"/>
                <c:pt idx="0">
                  <c:v>0.77417421980376955</c:v>
                </c:pt>
                <c:pt idx="1">
                  <c:v>0.5901605928422099</c:v>
                </c:pt>
                <c:pt idx="3">
                  <c:v>0.85740808268064239</c:v>
                </c:pt>
                <c:pt idx="4">
                  <c:v>1.0204586424689914</c:v>
                </c:pt>
                <c:pt idx="5">
                  <c:v>0.70200905169861538</c:v>
                </c:pt>
                <c:pt idx="6">
                  <c:v>0.69178881697215244</c:v>
                </c:pt>
                <c:pt idx="7">
                  <c:v>0.767161965334892</c:v>
                </c:pt>
                <c:pt idx="8">
                  <c:v>0.62866376501188814</c:v>
                </c:pt>
                <c:pt idx="9">
                  <c:v>0.61639444877601568</c:v>
                </c:pt>
                <c:pt idx="10">
                  <c:v>0.49254705091810225</c:v>
                </c:pt>
                <c:pt idx="11">
                  <c:v>0.49546001361462411</c:v>
                </c:pt>
                <c:pt idx="12">
                  <c:v>0.47067361713208877</c:v>
                </c:pt>
                <c:pt idx="13">
                  <c:v>0.80804549730660602</c:v>
                </c:pt>
                <c:pt idx="14">
                  <c:v>0.64822917642869915</c:v>
                </c:pt>
                <c:pt idx="15">
                  <c:v>0.62314391464127494</c:v>
                </c:pt>
                <c:pt idx="16">
                  <c:v>0.44479620816095361</c:v>
                </c:pt>
                <c:pt idx="17">
                  <c:v>0.44095733779991614</c:v>
                </c:pt>
                <c:pt idx="18">
                  <c:v>0.36886626643771436</c:v>
                </c:pt>
                <c:pt idx="19">
                  <c:v>0.35846724522834983</c:v>
                </c:pt>
              </c:numCache>
            </c:numRef>
          </c:yVal>
          <c:smooth val="0"/>
          <c:extLst xmlns:c15="http://schemas.microsoft.com/office/drawing/2012/chart">
            <c:ext xmlns:c16="http://schemas.microsoft.com/office/drawing/2014/chart" uri="{C3380CC4-5D6E-409C-BE32-E72D297353CC}">
              <c16:uniqueId val="{00000002-3695-4667-B1B9-5BA046056502}"/>
            </c:ext>
          </c:extLst>
        </c:ser>
        <c:ser>
          <c:idx val="13"/>
          <c:order val="3"/>
          <c:tx>
            <c:v>CF, Pipe 2</c:v>
          </c:tx>
          <c:spPr>
            <a:ln w="25400" cap="rnd">
              <a:noFill/>
              <a:round/>
            </a:ln>
            <a:effectLst/>
          </c:spPr>
          <c:marker>
            <c:symbol val="x"/>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extLst xmlns:c15="http://schemas.microsoft.com/office/drawing/2012/chart"/>
            </c:numRef>
          </c:xVal>
          <c:yVal>
            <c:numRef>
              <c:f>m!$CP$154:$DT$154</c:f>
              <c:numCache>
                <c:formatCode>General</c:formatCode>
                <c:ptCount val="31"/>
                <c:pt idx="0">
                  <c:v>0.83092937808887501</c:v>
                </c:pt>
                <c:pt idx="1">
                  <c:v>0.85902265956610802</c:v>
                </c:pt>
                <c:pt idx="2">
                  <c:v>0.74475698416223735</c:v>
                </c:pt>
                <c:pt idx="3">
                  <c:v>0.8438031444884061</c:v>
                </c:pt>
                <c:pt idx="4">
                  <c:v>0.66848156234401435</c:v>
                </c:pt>
                <c:pt idx="5">
                  <c:v>0.74376211426883343</c:v>
                </c:pt>
                <c:pt idx="6">
                  <c:v>0.56664962323160939</c:v>
                </c:pt>
                <c:pt idx="7">
                  <c:v>0.71116002861516647</c:v>
                </c:pt>
                <c:pt idx="8">
                  <c:v>0.79803023849379329</c:v>
                </c:pt>
                <c:pt idx="9">
                  <c:v>0.58973819388064819</c:v>
                </c:pt>
                <c:pt idx="10">
                  <c:v>0.6150809208310184</c:v>
                </c:pt>
                <c:pt idx="11">
                  <c:v>0.6091741815270123</c:v>
                </c:pt>
                <c:pt idx="12">
                  <c:v>0.71774136743187367</c:v>
                </c:pt>
                <c:pt idx="14">
                  <c:v>0.51717919915505006</c:v>
                </c:pt>
                <c:pt idx="15">
                  <c:v>1.0815169639841482</c:v>
                </c:pt>
                <c:pt idx="18">
                  <c:v>0.60056329735641056</c:v>
                </c:pt>
                <c:pt idx="19">
                  <c:v>0.65022830802967202</c:v>
                </c:pt>
                <c:pt idx="20">
                  <c:v>0.55622030541803869</c:v>
                </c:pt>
                <c:pt idx="21">
                  <c:v>0.53631793995772015</c:v>
                </c:pt>
                <c:pt idx="22">
                  <c:v>0.47389944186859195</c:v>
                </c:pt>
                <c:pt idx="23">
                  <c:v>1.3072988004956949</c:v>
                </c:pt>
                <c:pt idx="24">
                  <c:v>1.1337559325262667</c:v>
                </c:pt>
                <c:pt idx="25">
                  <c:v>1.4613779063040981</c:v>
                </c:pt>
                <c:pt idx="26">
                  <c:v>1.2698894295608372</c:v>
                </c:pt>
                <c:pt idx="27">
                  <c:v>1.1710555716447726</c:v>
                </c:pt>
                <c:pt idx="28">
                  <c:v>0.50434033626543984</c:v>
                </c:pt>
                <c:pt idx="29">
                  <c:v>0.49880664503519567</c:v>
                </c:pt>
              </c:numCache>
            </c:numRef>
          </c:yVal>
          <c:smooth val="0"/>
          <c:extLst xmlns:c15="http://schemas.microsoft.com/office/drawing/2012/chart">
            <c:ext xmlns:c16="http://schemas.microsoft.com/office/drawing/2014/chart" uri="{C3380CC4-5D6E-409C-BE32-E72D297353CC}">
              <c16:uniqueId val="{00000003-3695-4667-B1B9-5BA046056502}"/>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m!$DU$86:$DX$86</c:f>
              <c:numCache>
                <c:formatCode>General</c:formatCode>
                <c:ptCount val="4"/>
                <c:pt idx="1">
                  <c:v>3.8469075681895233</c:v>
                </c:pt>
              </c:numCache>
              <c:extLst xmlns:c15="http://schemas.microsoft.com/office/drawing/2012/chart"/>
            </c:numRef>
          </c:xVal>
          <c:yVal>
            <c:numRef>
              <c:f>m!$DU$154:$DX$154</c:f>
              <c:numCache>
                <c:formatCode>General</c:formatCode>
                <c:ptCount val="4"/>
                <c:pt idx="1">
                  <c:v>1.6700108518207812</c:v>
                </c:pt>
              </c:numCache>
            </c:numRef>
          </c:yVal>
          <c:smooth val="0"/>
          <c:extLst xmlns:c15="http://schemas.microsoft.com/office/drawing/2012/chart">
            <c:ext xmlns:c16="http://schemas.microsoft.com/office/drawing/2014/chart" uri="{C3380CC4-5D6E-409C-BE32-E72D297353CC}">
              <c16:uniqueId val="{00000004-3695-4667-B1B9-5BA046056502}"/>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m!$DY$154:$EL$154</c:f>
              <c:numCache>
                <c:formatCode>General</c:formatCode>
                <c:ptCount val="14"/>
                <c:pt idx="0">
                  <c:v>2.334775835468359</c:v>
                </c:pt>
                <c:pt idx="1">
                  <c:v>1.4634381361522866</c:v>
                </c:pt>
                <c:pt idx="2">
                  <c:v>1.2816178513387741</c:v>
                </c:pt>
                <c:pt idx="3">
                  <c:v>1.5687282989445157</c:v>
                </c:pt>
                <c:pt idx="4">
                  <c:v>1.1119722754529175</c:v>
                </c:pt>
                <c:pt idx="5">
                  <c:v>1.4330351796727736</c:v>
                </c:pt>
                <c:pt idx="6">
                  <c:v>1.2543519706565052</c:v>
                </c:pt>
                <c:pt idx="7">
                  <c:v>0.93701720957614654</c:v>
                </c:pt>
                <c:pt idx="8">
                  <c:v>1.2133170179690933</c:v>
                </c:pt>
                <c:pt idx="10">
                  <c:v>0.87366887284380146</c:v>
                </c:pt>
                <c:pt idx="11">
                  <c:v>0.95588165764196353</c:v>
                </c:pt>
                <c:pt idx="13">
                  <c:v>0.88583546927557832</c:v>
                </c:pt>
              </c:numCache>
            </c:numRef>
          </c:yVal>
          <c:smooth val="0"/>
          <c:extLst xmlns:c15="http://schemas.microsoft.com/office/drawing/2012/chart">
            <c:ext xmlns:c16="http://schemas.microsoft.com/office/drawing/2014/chart" uri="{C3380CC4-5D6E-409C-BE32-E72D297353CC}">
              <c16:uniqueId val="{00000005-3695-4667-B1B9-5BA046056502}"/>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extLst xmlns:c15="http://schemas.microsoft.com/office/drawing/2012/chart"/>
            </c:numRef>
          </c:xVal>
          <c:yVal>
            <c:numRef>
              <c:f>m!$AF$151:$AO$151</c:f>
              <c:numCache>
                <c:formatCode>General</c:formatCode>
                <c:ptCount val="10"/>
                <c:pt idx="6">
                  <c:v>0.96051020616855509</c:v>
                </c:pt>
                <c:pt idx="7">
                  <c:v>0.89328692887640948</c:v>
                </c:pt>
                <c:pt idx="8">
                  <c:v>0.73730348938910895</c:v>
                </c:pt>
                <c:pt idx="9">
                  <c:v>0.75807669824813051</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6-3695-4667-B1B9-5BA046056502}"/>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extLst xmlns:c15="http://schemas.microsoft.com/office/drawing/2012/chart"/>
            </c:numRef>
          </c:xVal>
          <c:yVal>
            <c:numRef>
              <c:f>m!$AP$151:$BL$151</c:f>
              <c:numCache>
                <c:formatCode>General</c:formatCode>
                <c:ptCount val="23"/>
                <c:pt idx="0">
                  <c:v>0.73141561176094505</c:v>
                </c:pt>
                <c:pt idx="1">
                  <c:v>0.71788470523545922</c:v>
                </c:pt>
                <c:pt idx="2">
                  <c:v>0.43239287968539247</c:v>
                </c:pt>
                <c:pt idx="3">
                  <c:v>0.45159130287372207</c:v>
                </c:pt>
                <c:pt idx="4">
                  <c:v>0.43929444743915902</c:v>
                </c:pt>
                <c:pt idx="6">
                  <c:v>0.42534901457962176</c:v>
                </c:pt>
                <c:pt idx="12">
                  <c:v>0.34550076794657769</c:v>
                </c:pt>
                <c:pt idx="19">
                  <c:v>0.65575898142215971</c:v>
                </c:pt>
                <c:pt idx="20">
                  <c:v>0.53004806572495888</c:v>
                </c:pt>
                <c:pt idx="21">
                  <c:v>0.72870206316578423</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7-3695-4667-B1B9-5BA046056502}"/>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extLst xmlns:c15="http://schemas.microsoft.com/office/drawing/2012/chart"/>
            </c:numRef>
          </c:xVal>
          <c:yVal>
            <c:numRef>
              <c:f>m!$BM$151:$CO$151</c:f>
              <c:numCache>
                <c:formatCode>General</c:formatCode>
                <c:ptCount val="29"/>
                <c:pt idx="0">
                  <c:v>0.43307332350558148</c:v>
                </c:pt>
                <c:pt idx="1">
                  <c:v>0.44421974964248201</c:v>
                </c:pt>
                <c:pt idx="3">
                  <c:v>0.41572502886830015</c:v>
                </c:pt>
                <c:pt idx="4">
                  <c:v>0.60238023629119408</c:v>
                </c:pt>
                <c:pt idx="5">
                  <c:v>0.38908689075377334</c:v>
                </c:pt>
                <c:pt idx="6">
                  <c:v>0.40982788562323119</c:v>
                </c:pt>
                <c:pt idx="7">
                  <c:v>0.52810729847649296</c:v>
                </c:pt>
                <c:pt idx="8">
                  <c:v>0.4249537008942611</c:v>
                </c:pt>
                <c:pt idx="9">
                  <c:v>0.39085141873462864</c:v>
                </c:pt>
                <c:pt idx="10">
                  <c:v>0.34366598852170394</c:v>
                </c:pt>
                <c:pt idx="11">
                  <c:v>0.32875513550559582</c:v>
                </c:pt>
                <c:pt idx="12">
                  <c:v>0.33973462870752885</c:v>
                </c:pt>
                <c:pt idx="13">
                  <c:v>0.39178446550936857</c:v>
                </c:pt>
                <c:pt idx="14">
                  <c:v>0.44725826489042203</c:v>
                </c:pt>
                <c:pt idx="15">
                  <c:v>0.3778940840763097</c:v>
                </c:pt>
                <c:pt idx="16">
                  <c:v>0.35990061060215056</c:v>
                </c:pt>
                <c:pt idx="17">
                  <c:v>0.31649799753295565</c:v>
                </c:pt>
                <c:pt idx="18">
                  <c:v>0.29955112419994862</c:v>
                </c:pt>
                <c:pt idx="19">
                  <c:v>0.27286846231286266</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8-3695-4667-B1B9-5BA046056502}"/>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extLst xmlns:c15="http://schemas.microsoft.com/office/drawing/2012/chart"/>
            </c:numRef>
          </c:xVal>
          <c:yVal>
            <c:numRef>
              <c:f>m!$CP$151:$DT$151</c:f>
              <c:numCache>
                <c:formatCode>General</c:formatCode>
                <c:ptCount val="31"/>
                <c:pt idx="0">
                  <c:v>0.51891346367884195</c:v>
                </c:pt>
                <c:pt idx="1">
                  <c:v>0.46306060032388846</c:v>
                </c:pt>
                <c:pt idx="2">
                  <c:v>0.34526968994641333</c:v>
                </c:pt>
                <c:pt idx="3">
                  <c:v>0.54013495307668713</c:v>
                </c:pt>
                <c:pt idx="4">
                  <c:v>0.42213600251593747</c:v>
                </c:pt>
                <c:pt idx="5">
                  <c:v>0.37608765022695956</c:v>
                </c:pt>
                <c:pt idx="6">
                  <c:v>0.34116363362407875</c:v>
                </c:pt>
                <c:pt idx="7">
                  <c:v>0.48743571974594485</c:v>
                </c:pt>
                <c:pt idx="8">
                  <c:v>0.58795761461396057</c:v>
                </c:pt>
                <c:pt idx="9">
                  <c:v>0.40867685095213618</c:v>
                </c:pt>
                <c:pt idx="10">
                  <c:v>0.47249463407075748</c:v>
                </c:pt>
                <c:pt idx="11">
                  <c:v>0.45375798698388359</c:v>
                </c:pt>
                <c:pt idx="12">
                  <c:v>0.42399483797487281</c:v>
                </c:pt>
                <c:pt idx="14">
                  <c:v>0.36107275058343469</c:v>
                </c:pt>
                <c:pt idx="15">
                  <c:v>0.50811105689865776</c:v>
                </c:pt>
                <c:pt idx="18">
                  <c:v>0.46389082099154305</c:v>
                </c:pt>
                <c:pt idx="19">
                  <c:v>0.40069844265750926</c:v>
                </c:pt>
                <c:pt idx="20">
                  <c:v>0.47944499133554747</c:v>
                </c:pt>
                <c:pt idx="21">
                  <c:v>0.37951966649310409</c:v>
                </c:pt>
                <c:pt idx="22">
                  <c:v>0.34060846554689989</c:v>
                </c:pt>
                <c:pt idx="23">
                  <c:v>0.78886449621238175</c:v>
                </c:pt>
                <c:pt idx="24">
                  <c:v>0.59347651951049629</c:v>
                </c:pt>
                <c:pt idx="25">
                  <c:v>0.59780290129310854</c:v>
                </c:pt>
                <c:pt idx="26">
                  <c:v>0.52707866116379332</c:v>
                </c:pt>
                <c:pt idx="27">
                  <c:v>0.49851693000799374</c:v>
                </c:pt>
                <c:pt idx="28">
                  <c:v>0.5034501789689475</c:v>
                </c:pt>
                <c:pt idx="29">
                  <c:v>0.4576060337763907</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9-3695-4667-B1B9-5BA046056502}"/>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m!$DU$86:$DX$86</c:f>
              <c:numCache>
                <c:formatCode>General</c:formatCode>
                <c:ptCount val="4"/>
                <c:pt idx="1">
                  <c:v>3.8469075681895233</c:v>
                </c:pt>
              </c:numCache>
              <c:extLst xmlns:c15="http://schemas.microsoft.com/office/drawing/2012/chart"/>
            </c:numRef>
          </c:xVal>
          <c:yVal>
            <c:numRef>
              <c:f>m!$DU$151:$DX$151</c:f>
              <c:numCache>
                <c:formatCode>General</c:formatCode>
                <c:ptCount val="4"/>
                <c:pt idx="1">
                  <c:v>0.57798122221514148</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A-3695-4667-B1B9-5BA046056502}"/>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extLst xmlns:c15="http://schemas.microsoft.com/office/drawing/2012/chart"/>
            </c:numRef>
          </c:xVal>
          <c:yVal>
            <c:numRef>
              <c:f>m!$DY$151:$EL$151</c:f>
              <c:numCache>
                <c:formatCode>General</c:formatCode>
                <c:ptCount val="14"/>
                <c:pt idx="0">
                  <c:v>0.71155810687714749</c:v>
                </c:pt>
                <c:pt idx="1">
                  <c:v>0.57573774264219468</c:v>
                </c:pt>
                <c:pt idx="2">
                  <c:v>0.60362793982400553</c:v>
                </c:pt>
                <c:pt idx="3">
                  <c:v>0.72803008306460459</c:v>
                </c:pt>
                <c:pt idx="4">
                  <c:v>0.56858178939027959</c:v>
                </c:pt>
                <c:pt idx="5">
                  <c:v>0.52489485474071218</c:v>
                </c:pt>
                <c:pt idx="6">
                  <c:v>0.55372673272934791</c:v>
                </c:pt>
                <c:pt idx="7">
                  <c:v>0.45475277126562902</c:v>
                </c:pt>
                <c:pt idx="8">
                  <c:v>0.57630869242039706</c:v>
                </c:pt>
                <c:pt idx="10">
                  <c:v>0.42489299305482314</c:v>
                </c:pt>
                <c:pt idx="11">
                  <c:v>0.44299147981304643</c:v>
                </c:pt>
                <c:pt idx="13">
                  <c:v>0.43910162876115499</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B-3695-4667-B1B9-5BA046056502}"/>
            </c:ext>
          </c:extLst>
        </c:ser>
        <c:dLbls>
          <c:showLegendKey val="0"/>
          <c:showVal val="0"/>
          <c:showCatName val="0"/>
          <c:showSerName val="0"/>
          <c:showPercent val="0"/>
          <c:showBubbleSize val="0"/>
        </c:dLbls>
        <c:axId val="624399680"/>
        <c:axId val="624400008"/>
        <c:extLst/>
      </c:scatterChart>
      <c:valAx>
        <c:axId val="624399680"/>
        <c:scaling>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Normalized Span Length, L̃ = L/L</a:t>
                </a:r>
                <a:r>
                  <a:rPr lang="en-US" sz="1800" baseline="-25000">
                    <a:effectLst/>
                  </a:rPr>
                  <a:t>st</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Ratio Test/F105 Prediction for </a:t>
                </a:r>
              </a:p>
              <a:p>
                <a:pPr>
                  <a:defRPr/>
                </a:pPr>
                <a:r>
                  <a:rPr lang="en-US" sz="1400" b="0" i="0" u="none" strike="noStrike" baseline="0">
                    <a:effectLst/>
                  </a:rPr>
                  <a:t>Fatigue Equivalent Strain Amplitude, ϵ</a:t>
                </a:r>
                <a:r>
                  <a:rPr lang="en-US" sz="1400" b="0" i="0" u="none" strike="noStrike" baseline="-25000">
                    <a:effectLst/>
                  </a:rPr>
                  <a:t>e</a:t>
                </a:r>
                <a:endParaRPr lang="en-US" sz="1400">
                  <a:effectLst/>
                </a:endParaRPr>
              </a:p>
            </c:rich>
          </c:tx>
          <c:layout>
            <c:manualLayout>
              <c:xMode val="edge"/>
              <c:yMode val="edge"/>
              <c:x val="1.278701598026457E-2"/>
              <c:y val="0.19548900404543448"/>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6"/>
          <c:order val="0"/>
          <c:tx>
            <c:v>Ormen Lange</c:v>
          </c:tx>
          <c:spPr>
            <a:ln w="25400" cap="rnd">
              <a:noFill/>
              <a:round/>
            </a:ln>
            <a:effectLst/>
          </c:spPr>
          <c:marker>
            <c:symbol val="circle"/>
            <c:size val="7"/>
            <c:spPr>
              <a:noFill/>
              <a:ln w="15875">
                <a:solidFill>
                  <a:schemeClr val="tx1"/>
                </a:solidFill>
              </a:ln>
              <a:effectLst/>
            </c:spPr>
          </c:marker>
          <c:xVal>
            <c:numRef>
              <c:f>m!$AF$99:$AO$99</c:f>
              <c:numCache>
                <c:formatCode>General</c:formatCode>
                <c:ptCount val="10"/>
                <c:pt idx="6">
                  <c:v>15.552279991221374</c:v>
                </c:pt>
                <c:pt idx="7">
                  <c:v>24.663136603214756</c:v>
                </c:pt>
                <c:pt idx="8">
                  <c:v>29.815214976028731</c:v>
                </c:pt>
                <c:pt idx="9">
                  <c:v>34.711685593277487</c:v>
                </c:pt>
              </c:numCache>
            </c:numRef>
          </c:xVal>
          <c:yVal>
            <c:numRef>
              <c:f>m!$AF$98:$AO$98</c:f>
              <c:numCache>
                <c:formatCode>General</c:formatCode>
                <c:ptCount val="10"/>
                <c:pt idx="6">
                  <c:v>1.2985719350937881</c:v>
                </c:pt>
                <c:pt idx="7">
                  <c:v>1.6722298246376108</c:v>
                </c:pt>
                <c:pt idx="8">
                  <c:v>1.7083555060939886</c:v>
                </c:pt>
                <c:pt idx="9">
                  <c:v>1.6761170486622958</c:v>
                </c:pt>
              </c:numCache>
            </c:numRef>
          </c:yVal>
          <c:smooth val="0"/>
          <c:extLst>
            <c:ext xmlns:c16="http://schemas.microsoft.com/office/drawing/2014/chart" uri="{C3380CC4-5D6E-409C-BE32-E72D297353CC}">
              <c16:uniqueId val="{00000006-7A8E-4D2F-844C-15B18225D8E5}"/>
            </c:ext>
          </c:extLst>
        </c:ser>
        <c:ser>
          <c:idx val="7"/>
          <c:order val="1"/>
          <c:tx>
            <c:v>ExxonMobil</c:v>
          </c:tx>
          <c:spPr>
            <a:ln w="25400" cap="rnd">
              <a:noFill/>
              <a:round/>
            </a:ln>
            <a:effectLst/>
          </c:spPr>
          <c:marker>
            <c:symbol val="circle"/>
            <c:size val="7"/>
            <c:spPr>
              <a:noFill/>
              <a:ln w="15875">
                <a:solidFill>
                  <a:schemeClr val="accent3"/>
                </a:solidFill>
              </a:ln>
              <a:effectLst/>
            </c:spPr>
          </c:marker>
          <c:xVal>
            <c:numRef>
              <c:f>m!$AP$99:$BL$99</c:f>
              <c:numCache>
                <c:formatCode>General</c:formatCode>
                <c:ptCount val="23"/>
                <c:pt idx="0">
                  <c:v>90</c:v>
                </c:pt>
                <c:pt idx="1">
                  <c:v>90</c:v>
                </c:pt>
                <c:pt idx="2">
                  <c:v>90</c:v>
                </c:pt>
                <c:pt idx="4">
                  <c:v>90</c:v>
                </c:pt>
                <c:pt idx="6">
                  <c:v>90</c:v>
                </c:pt>
                <c:pt idx="12">
                  <c:v>90</c:v>
                </c:pt>
              </c:numCache>
            </c:numRef>
          </c:xVal>
          <c:yVal>
            <c:numRef>
              <c:f>m!$AP$98:$BL$98</c:f>
              <c:numCache>
                <c:formatCode>General</c:formatCode>
                <c:ptCount val="23"/>
                <c:pt idx="0">
                  <c:v>18.091723115636935</c:v>
                </c:pt>
                <c:pt idx="1">
                  <c:v>5.3889016440711481</c:v>
                </c:pt>
                <c:pt idx="2">
                  <c:v>1.3190669639479351</c:v>
                </c:pt>
                <c:pt idx="4">
                  <c:v>0.91108852235585536</c:v>
                </c:pt>
                <c:pt idx="6">
                  <c:v>3.1043211233859296</c:v>
                </c:pt>
                <c:pt idx="12">
                  <c:v>2.243363998249607</c:v>
                </c:pt>
              </c:numCache>
            </c:numRef>
          </c:yVal>
          <c:smooth val="0"/>
          <c:extLst>
            <c:ext xmlns:c16="http://schemas.microsoft.com/office/drawing/2014/chart" uri="{C3380CC4-5D6E-409C-BE32-E72D297353CC}">
              <c16:uniqueId val="{00000007-7A8E-4D2F-844C-15B18225D8E5}"/>
            </c:ext>
          </c:extLst>
        </c:ser>
        <c:ser>
          <c:idx val="12"/>
          <c:order val="2"/>
          <c:tx>
            <c:v>Pipe 1</c:v>
          </c:tx>
          <c:spPr>
            <a:ln w="25400" cap="rnd">
              <a:noFill/>
              <a:round/>
            </a:ln>
            <a:effectLst/>
          </c:spPr>
          <c:marker>
            <c:symbol val="circle"/>
            <c:size val="8"/>
            <c:spPr>
              <a:noFill/>
              <a:ln w="15875">
                <a:solidFill>
                  <a:schemeClr val="accent6"/>
                </a:solidFill>
              </a:ln>
              <a:effectLst/>
            </c:spPr>
          </c:marker>
          <c:xVal>
            <c:numRef>
              <c:f>m!$BM$99:$CO$99</c:f>
              <c:numCache>
                <c:formatCode>General</c:formatCode>
                <c:ptCount val="29"/>
                <c:pt idx="0">
                  <c:v>65.150264884378757</c:v>
                </c:pt>
                <c:pt idx="1">
                  <c:v>84.074701260276839</c:v>
                </c:pt>
                <c:pt idx="3">
                  <c:v>58.78586358217715</c:v>
                </c:pt>
                <c:pt idx="4">
                  <c:v>73.160108550867719</c:v>
                </c:pt>
                <c:pt idx="5">
                  <c:v>72.50212179544269</c:v>
                </c:pt>
                <c:pt idx="6">
                  <c:v>80.362803453156289</c:v>
                </c:pt>
                <c:pt idx="7">
                  <c:v>83.162382622085332</c:v>
                </c:pt>
                <c:pt idx="8">
                  <c:v>84.583847738693592</c:v>
                </c:pt>
                <c:pt idx="9">
                  <c:v>85.220419223971192</c:v>
                </c:pt>
                <c:pt idx="10">
                  <c:v>86.6985903538</c:v>
                </c:pt>
                <c:pt idx="11">
                  <c:v>87.209579252902898</c:v>
                </c:pt>
                <c:pt idx="12">
                  <c:v>87.763219888886226</c:v>
                </c:pt>
                <c:pt idx="13">
                  <c:v>55.934938508249431</c:v>
                </c:pt>
                <c:pt idx="14">
                  <c:v>84.86583156020896</c:v>
                </c:pt>
                <c:pt idx="15">
                  <c:v>83.707507896310275</c:v>
                </c:pt>
                <c:pt idx="16">
                  <c:v>87.536728720768849</c:v>
                </c:pt>
                <c:pt idx="17">
                  <c:v>87.979366115312615</c:v>
                </c:pt>
                <c:pt idx="18">
                  <c:v>88.145863558745063</c:v>
                </c:pt>
                <c:pt idx="19">
                  <c:v>88.284363903287655</c:v>
                </c:pt>
              </c:numCache>
            </c:numRef>
          </c:xVal>
          <c:yVal>
            <c:numRef>
              <c:f>m!$BM$98:$CO$98</c:f>
              <c:numCache>
                <c:formatCode>General</c:formatCode>
                <c:ptCount val="29"/>
                <c:pt idx="0">
                  <c:v>1.4721629036585979</c:v>
                </c:pt>
                <c:pt idx="1">
                  <c:v>1.5480362378423449</c:v>
                </c:pt>
                <c:pt idx="3">
                  <c:v>0.90249786638612739</c:v>
                </c:pt>
                <c:pt idx="4">
                  <c:v>1.2548781736191221</c:v>
                </c:pt>
                <c:pt idx="5">
                  <c:v>0.88567015677770256</c:v>
                </c:pt>
                <c:pt idx="6">
                  <c:v>1.2580534997085591</c:v>
                </c:pt>
                <c:pt idx="7">
                  <c:v>1.4086537181972587</c:v>
                </c:pt>
                <c:pt idx="8">
                  <c:v>1.4424425452284735</c:v>
                </c:pt>
                <c:pt idx="9">
                  <c:v>1.3515522841626286</c:v>
                </c:pt>
                <c:pt idx="10">
                  <c:v>1.4026992736307624</c:v>
                </c:pt>
                <c:pt idx="11">
                  <c:v>1.4314585251551992</c:v>
                </c:pt>
                <c:pt idx="12">
                  <c:v>1.5559392229897959</c:v>
                </c:pt>
                <c:pt idx="13">
                  <c:v>0.80844108166908912</c:v>
                </c:pt>
                <c:pt idx="14">
                  <c:v>1.5213746682993858</c:v>
                </c:pt>
                <c:pt idx="15">
                  <c:v>1.3043454972624913</c:v>
                </c:pt>
                <c:pt idx="16">
                  <c:v>1.4596760816366705</c:v>
                </c:pt>
                <c:pt idx="17">
                  <c:v>1.5139109842500296</c:v>
                </c:pt>
                <c:pt idx="18">
                  <c:v>1.4617678270470824</c:v>
                </c:pt>
                <c:pt idx="19">
                  <c:v>1.4090881379908915</c:v>
                </c:pt>
              </c:numCache>
            </c:numRef>
          </c:yVal>
          <c:smooth val="0"/>
          <c:extLst>
            <c:ext xmlns:c16="http://schemas.microsoft.com/office/drawing/2014/chart" uri="{C3380CC4-5D6E-409C-BE32-E72D297353CC}">
              <c16:uniqueId val="{00000008-7A8E-4D2F-844C-15B18225D8E5}"/>
            </c:ext>
          </c:extLst>
        </c:ser>
        <c:ser>
          <c:idx val="14"/>
          <c:order val="3"/>
          <c:tx>
            <c:v>Pipe 2</c:v>
          </c:tx>
          <c:spPr>
            <a:ln w="25400" cap="rnd">
              <a:noFill/>
              <a:round/>
            </a:ln>
            <a:effectLst/>
          </c:spPr>
          <c:marker>
            <c:symbol val="circle"/>
            <c:size val="7"/>
            <c:spPr>
              <a:noFill/>
              <a:ln w="15875">
                <a:solidFill>
                  <a:srgbClr val="00B0F0"/>
                </a:solidFill>
              </a:ln>
              <a:effectLst/>
            </c:spPr>
          </c:marker>
          <c:xVal>
            <c:numRef>
              <c:f>m!$CP$99:$DT$99</c:f>
              <c:numCache>
                <c:formatCode>General</c:formatCode>
                <c:ptCount val="31"/>
                <c:pt idx="0">
                  <c:v>34.865005417648838</c:v>
                </c:pt>
                <c:pt idx="1">
                  <c:v>51.677049127993918</c:v>
                </c:pt>
                <c:pt idx="2">
                  <c:v>58.744029529141748</c:v>
                </c:pt>
                <c:pt idx="3">
                  <c:v>69.514879820300692</c:v>
                </c:pt>
                <c:pt idx="4">
                  <c:v>73.641694521683974</c:v>
                </c:pt>
                <c:pt idx="5">
                  <c:v>75.673515392044436</c:v>
                </c:pt>
                <c:pt idx="6">
                  <c:v>78.321736101042148</c:v>
                </c:pt>
                <c:pt idx="7">
                  <c:v>81.355893326841695</c:v>
                </c:pt>
                <c:pt idx="8">
                  <c:v>82.854071662903451</c:v>
                </c:pt>
                <c:pt idx="9">
                  <c:v>83.237935558310568</c:v>
                </c:pt>
                <c:pt idx="10">
                  <c:v>84.421905836437887</c:v>
                </c:pt>
                <c:pt idx="11">
                  <c:v>84.983566112333264</c:v>
                </c:pt>
                <c:pt idx="12">
                  <c:v>85.810480683321586</c:v>
                </c:pt>
                <c:pt idx="14">
                  <c:v>85.393364497272643</c:v>
                </c:pt>
                <c:pt idx="15">
                  <c:v>17.722451909789172</c:v>
                </c:pt>
                <c:pt idx="18">
                  <c:v>86.155078236590882</c:v>
                </c:pt>
                <c:pt idx="19">
                  <c:v>86.843804047412846</c:v>
                </c:pt>
                <c:pt idx="20">
                  <c:v>87.364319593750992</c:v>
                </c:pt>
                <c:pt idx="21">
                  <c:v>87.76842258785237</c:v>
                </c:pt>
                <c:pt idx="22">
                  <c:v>88.123038519384906</c:v>
                </c:pt>
                <c:pt idx="23">
                  <c:v>8.6493645473778873</c:v>
                </c:pt>
                <c:pt idx="24">
                  <c:v>11.595318783912596</c:v>
                </c:pt>
                <c:pt idx="25">
                  <c:v>18.652481207512476</c:v>
                </c:pt>
                <c:pt idx="26">
                  <c:v>34.276718732814928</c:v>
                </c:pt>
                <c:pt idx="27">
                  <c:v>18.655976732374047</c:v>
                </c:pt>
                <c:pt idx="28">
                  <c:v>85.052779014626282</c:v>
                </c:pt>
                <c:pt idx="29">
                  <c:v>86.491555836167876</c:v>
                </c:pt>
              </c:numCache>
            </c:numRef>
          </c:xVal>
          <c:yVal>
            <c:numRef>
              <c:f>m!$CP$98:$DT$98</c:f>
              <c:numCache>
                <c:formatCode>General</c:formatCode>
                <c:ptCount val="31"/>
                <c:pt idx="0">
                  <c:v>1.081863734067221</c:v>
                </c:pt>
                <c:pt idx="1">
                  <c:v>1.2572387167226124</c:v>
                </c:pt>
                <c:pt idx="2">
                  <c:v>1.1360986568109415</c:v>
                </c:pt>
                <c:pt idx="3">
                  <c:v>1.3576209011410898</c:v>
                </c:pt>
                <c:pt idx="4">
                  <c:v>1.3225994715143725</c:v>
                </c:pt>
                <c:pt idx="5">
                  <c:v>1.2009048017560393</c:v>
                </c:pt>
                <c:pt idx="6">
                  <c:v>1.2024251707669846</c:v>
                </c:pt>
                <c:pt idx="7">
                  <c:v>1.3505111224685185</c:v>
                </c:pt>
                <c:pt idx="8">
                  <c:v>1.3765003052903368</c:v>
                </c:pt>
                <c:pt idx="9">
                  <c:v>1.2395390671423394</c:v>
                </c:pt>
                <c:pt idx="10">
                  <c:v>1.2981556887471948</c:v>
                </c:pt>
                <c:pt idx="11">
                  <c:v>1.257810785010453</c:v>
                </c:pt>
                <c:pt idx="12">
                  <c:v>1.3253348418551525</c:v>
                </c:pt>
                <c:pt idx="14">
                  <c:v>1.2049427167060178</c:v>
                </c:pt>
                <c:pt idx="15">
                  <c:v>0.88228711865381537</c:v>
                </c:pt>
                <c:pt idx="18">
                  <c:v>1.2790394256436814</c:v>
                </c:pt>
                <c:pt idx="19">
                  <c:v>1.2477567704151353</c:v>
                </c:pt>
                <c:pt idx="20">
                  <c:v>1.2240896661497742</c:v>
                </c:pt>
                <c:pt idx="21">
                  <c:v>1.2047859430194348</c:v>
                </c:pt>
                <c:pt idx="22">
                  <c:v>1.2118508996619266</c:v>
                </c:pt>
                <c:pt idx="23">
                  <c:v>0.94504193803600101</c:v>
                </c:pt>
                <c:pt idx="24">
                  <c:v>0.56635067051125687</c:v>
                </c:pt>
                <c:pt idx="25">
                  <c:v>1.4550283889555418</c:v>
                </c:pt>
                <c:pt idx="26">
                  <c:v>1.3062872878321061</c:v>
                </c:pt>
                <c:pt idx="27">
                  <c:v>1.0700186763843609</c:v>
                </c:pt>
                <c:pt idx="28">
                  <c:v>1.2758116764282488</c:v>
                </c:pt>
                <c:pt idx="29">
                  <c:v>1.2506521195934672</c:v>
                </c:pt>
              </c:numCache>
            </c:numRef>
          </c:yVal>
          <c:smooth val="0"/>
          <c:extLst>
            <c:ext xmlns:c16="http://schemas.microsoft.com/office/drawing/2014/chart" uri="{C3380CC4-5D6E-409C-BE32-E72D297353CC}">
              <c16:uniqueId val="{00000009-7A8E-4D2F-844C-15B18225D8E5}"/>
            </c:ext>
          </c:extLst>
        </c:ser>
        <c:ser>
          <c:idx val="8"/>
          <c:order val="4"/>
          <c:tx>
            <c:v>Pipe 3 Smooth</c:v>
          </c:tx>
          <c:spPr>
            <a:ln w="25400" cap="rnd">
              <a:noFill/>
              <a:round/>
            </a:ln>
            <a:effectLst/>
          </c:spPr>
          <c:marker>
            <c:symbol val="circle"/>
            <c:size val="7"/>
            <c:spPr>
              <a:noFill/>
              <a:ln w="15875">
                <a:solidFill>
                  <a:schemeClr val="accent2"/>
                </a:solidFill>
              </a:ln>
              <a:effectLst/>
            </c:spPr>
          </c:marker>
          <c:xVal>
            <c:numRef>
              <c:f>m!$DU$99:$DX$99</c:f>
              <c:numCache>
                <c:formatCode>General</c:formatCode>
                <c:ptCount val="4"/>
                <c:pt idx="1">
                  <c:v>76.202294229334612</c:v>
                </c:pt>
              </c:numCache>
            </c:numRef>
          </c:xVal>
          <c:yVal>
            <c:numRef>
              <c:f>m!$DU$98:$DX$98</c:f>
              <c:numCache>
                <c:formatCode>General</c:formatCode>
                <c:ptCount val="4"/>
                <c:pt idx="1">
                  <c:v>2.7122544554363386</c:v>
                </c:pt>
              </c:numCache>
            </c:numRef>
          </c:yVal>
          <c:smooth val="0"/>
          <c:extLst>
            <c:ext xmlns:c16="http://schemas.microsoft.com/office/drawing/2014/chart" uri="{C3380CC4-5D6E-409C-BE32-E72D297353CC}">
              <c16:uniqueId val="{0000000A-7A8E-4D2F-844C-15B18225D8E5}"/>
            </c:ext>
          </c:extLst>
        </c:ser>
        <c:ser>
          <c:idx val="10"/>
          <c:order val="5"/>
          <c:tx>
            <c:v>Pipe 3 Rough</c:v>
          </c:tx>
          <c:spPr>
            <a:ln w="25400" cap="rnd">
              <a:noFill/>
              <a:round/>
            </a:ln>
            <a:effectLst/>
          </c:spPr>
          <c:marker>
            <c:symbol val="circle"/>
            <c:size val="5"/>
            <c:spPr>
              <a:noFill/>
              <a:ln w="19050">
                <a:solidFill>
                  <a:schemeClr val="accent4"/>
                </a:solidFill>
              </a:ln>
              <a:effectLst/>
            </c:spPr>
          </c:marker>
          <c:xVal>
            <c:numRef>
              <c:f>m!$DY$99:$EL$99</c:f>
              <c:numCache>
                <c:formatCode>General</c:formatCode>
                <c:ptCount val="14"/>
                <c:pt idx="0">
                  <c:v>47.397305839882812</c:v>
                </c:pt>
                <c:pt idx="1">
                  <c:v>71.03781740122426</c:v>
                </c:pt>
                <c:pt idx="2">
                  <c:v>74.467960751644313</c:v>
                </c:pt>
                <c:pt idx="3">
                  <c:v>79.644697268320797</c:v>
                </c:pt>
                <c:pt idx="4">
                  <c:v>81.03383742692796</c:v>
                </c:pt>
                <c:pt idx="5">
                  <c:v>82.903250040996681</c:v>
                </c:pt>
                <c:pt idx="6">
                  <c:v>84.576383809409549</c:v>
                </c:pt>
                <c:pt idx="7">
                  <c:v>84.749467356164828</c:v>
                </c:pt>
                <c:pt idx="8">
                  <c:v>85.327438691672995</c:v>
                </c:pt>
                <c:pt idx="10">
                  <c:v>87.076525533900551</c:v>
                </c:pt>
                <c:pt idx="11">
                  <c:v>87.63990133277845</c:v>
                </c:pt>
                <c:pt idx="13">
                  <c:v>85.372327893141644</c:v>
                </c:pt>
              </c:numCache>
            </c:numRef>
          </c:xVal>
          <c:yVal>
            <c:numRef>
              <c:f>m!$DY$98:$EL$98</c:f>
              <c:numCache>
                <c:formatCode>General</c:formatCode>
                <c:ptCount val="14"/>
                <c:pt idx="0">
                  <c:v>2.8970439601952824</c:v>
                </c:pt>
                <c:pt idx="1">
                  <c:v>1.9393886378103995</c:v>
                </c:pt>
                <c:pt idx="2">
                  <c:v>1.6651195070475147</c:v>
                </c:pt>
                <c:pt idx="3">
                  <c:v>1.8599393585114403</c:v>
                </c:pt>
                <c:pt idx="4">
                  <c:v>1.6491517350810048</c:v>
                </c:pt>
                <c:pt idx="5">
                  <c:v>1.652071280773018</c:v>
                </c:pt>
                <c:pt idx="6">
                  <c:v>1.7537014834084816</c:v>
                </c:pt>
                <c:pt idx="7">
                  <c:v>1.4977824916681817</c:v>
                </c:pt>
                <c:pt idx="8">
                  <c:v>1.6834808618964032</c:v>
                </c:pt>
                <c:pt idx="10">
                  <c:v>1.44927158381323</c:v>
                </c:pt>
                <c:pt idx="11">
                  <c:v>1.5791262582892627</c:v>
                </c:pt>
                <c:pt idx="13">
                  <c:v>1.4293414820412804</c:v>
                </c:pt>
              </c:numCache>
            </c:numRef>
          </c:yVal>
          <c:smooth val="0"/>
          <c:extLst>
            <c:ext xmlns:c16="http://schemas.microsoft.com/office/drawing/2014/chart" uri="{C3380CC4-5D6E-409C-BE32-E72D297353CC}">
              <c16:uniqueId val="{0000000B-7A8E-4D2F-844C-15B18225D8E5}"/>
            </c:ext>
          </c:extLst>
        </c:ser>
        <c:dLbls>
          <c:showLegendKey val="0"/>
          <c:showVal val="0"/>
          <c:showCatName val="0"/>
          <c:showSerName val="0"/>
          <c:showPercent val="0"/>
          <c:showBubbleSize val="0"/>
        </c:dLbls>
        <c:axId val="624399680"/>
        <c:axId val="624400008"/>
        <c:extLst/>
      </c:scatterChart>
      <c:valAx>
        <c:axId val="624399680"/>
        <c:scaling>
          <c:orientation val="minMax"/>
          <c:max val="9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Angle of Static Plane from Vertical, θ (degrees)</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Drag Coefficient, c</a:t>
                </a:r>
                <a:r>
                  <a:rPr lang="en-US" sz="1400" b="0" i="0" u="none" strike="noStrike" baseline="-25000">
                    <a:effectLst/>
                  </a:rPr>
                  <a:t>d</a:t>
                </a:r>
                <a:endParaRPr lang="en-US" sz="1400">
                  <a:effectLst/>
                </a:endParaRPr>
              </a:p>
            </c:rich>
          </c:tx>
          <c:layout>
            <c:manualLayout>
              <c:xMode val="edge"/>
              <c:yMode val="edge"/>
              <c:x val="8.3351517621232246E-3"/>
              <c:y val="0.3436371521935826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minorUnit val="0.5"/>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6"/>
          <c:order val="0"/>
          <c:tx>
            <c:v>Ormen Lange</c:v>
          </c:tx>
          <c:spPr>
            <a:ln w="25400" cap="rnd">
              <a:noFill/>
              <a:round/>
            </a:ln>
            <a:effectLst/>
          </c:spPr>
          <c:marker>
            <c:symbol val="circle"/>
            <c:size val="7"/>
            <c:spPr>
              <a:noFill/>
              <a:ln w="15875">
                <a:solidFill>
                  <a:schemeClr val="tx1"/>
                </a:solidFill>
              </a:ln>
              <a:effectLst/>
            </c:spPr>
          </c:marker>
          <c:xVal>
            <c:numRef>
              <c:f>m!$AF$161:$AO$161</c:f>
              <c:numCache>
                <c:formatCode>General</c:formatCode>
                <c:ptCount val="10"/>
                <c:pt idx="0">
                  <c:v>0.99815810809371408</c:v>
                </c:pt>
                <c:pt idx="1">
                  <c:v>0.99775291529283472</c:v>
                </c:pt>
                <c:pt idx="2">
                  <c:v>0.99570239922050974</c:v>
                </c:pt>
                <c:pt idx="3">
                  <c:v>0.99927980648777814</c:v>
                </c:pt>
                <c:pt idx="4">
                  <c:v>1.0142742209705271</c:v>
                </c:pt>
                <c:pt idx="5">
                  <c:v>1.0162924743025807</c:v>
                </c:pt>
                <c:pt idx="6">
                  <c:v>1.0383689788175294</c:v>
                </c:pt>
                <c:pt idx="7">
                  <c:v>1.1007782601085476</c:v>
                </c:pt>
                <c:pt idx="8">
                  <c:v>1.152634079663803</c:v>
                </c:pt>
                <c:pt idx="9">
                  <c:v>1.2153636351591333</c:v>
                </c:pt>
              </c:numCache>
            </c:numRef>
          </c:xVal>
          <c:yVal>
            <c:numRef>
              <c:f>m!$AF$98:$AO$98</c:f>
              <c:numCache>
                <c:formatCode>General</c:formatCode>
                <c:ptCount val="10"/>
                <c:pt idx="6">
                  <c:v>1.2985719350937881</c:v>
                </c:pt>
                <c:pt idx="7">
                  <c:v>1.6722298246376108</c:v>
                </c:pt>
                <c:pt idx="8">
                  <c:v>1.7083555060939886</c:v>
                </c:pt>
                <c:pt idx="9">
                  <c:v>1.6761170486622958</c:v>
                </c:pt>
              </c:numCache>
            </c:numRef>
          </c:yVal>
          <c:smooth val="0"/>
          <c:extLst>
            <c:ext xmlns:c16="http://schemas.microsoft.com/office/drawing/2014/chart" uri="{C3380CC4-5D6E-409C-BE32-E72D297353CC}">
              <c16:uniqueId val="{00000000-F634-4DA4-B499-9C8E31ACC391}"/>
            </c:ext>
          </c:extLst>
        </c:ser>
        <c:ser>
          <c:idx val="7"/>
          <c:order val="1"/>
          <c:tx>
            <c:v>ExxonMobil</c:v>
          </c:tx>
          <c:spPr>
            <a:ln w="25400" cap="rnd">
              <a:noFill/>
              <a:round/>
            </a:ln>
            <a:effectLst/>
          </c:spPr>
          <c:marker>
            <c:symbol val="circle"/>
            <c:size val="7"/>
            <c:spPr>
              <a:noFill/>
              <a:ln w="15875">
                <a:solidFill>
                  <a:schemeClr val="accent3"/>
                </a:solidFill>
              </a:ln>
              <a:effectLst/>
            </c:spPr>
          </c:marker>
          <c:xVal>
            <c:numRef>
              <c:f>m!$AP$161:$BL$161</c:f>
              <c:numCache>
                <c:formatCode>General</c:formatCode>
                <c:ptCount val="23"/>
                <c:pt idx="0">
                  <c:v>1.0082706607197238</c:v>
                </c:pt>
                <c:pt idx="1">
                  <c:v>1.0030355498389345</c:v>
                </c:pt>
                <c:pt idx="2">
                  <c:v>1.0008830594301228</c:v>
                </c:pt>
                <c:pt idx="3">
                  <c:v>0.99541039777952278</c:v>
                </c:pt>
                <c:pt idx="4">
                  <c:v>1.0030048441194246</c:v>
                </c:pt>
                <c:pt idx="5">
                  <c:v>0.99845535101312677</c:v>
                </c:pt>
                <c:pt idx="6">
                  <c:v>1.107052154088138</c:v>
                </c:pt>
                <c:pt idx="7">
                  <c:v>1.1848745068077389</c:v>
                </c:pt>
                <c:pt idx="8">
                  <c:v>1.1712887028468475</c:v>
                </c:pt>
                <c:pt idx="9">
                  <c:v>1.188003987056641</c:v>
                </c:pt>
                <c:pt idx="10">
                  <c:v>1.2061795099437516</c:v>
                </c:pt>
                <c:pt idx="11">
                  <c:v>1.2445881130970482</c:v>
                </c:pt>
                <c:pt idx="12">
                  <c:v>1.3182861331182092</c:v>
                </c:pt>
                <c:pt idx="13">
                  <c:v>1.3783626765292278</c:v>
                </c:pt>
                <c:pt idx="14">
                  <c:v>1.4978136025759008</c:v>
                </c:pt>
                <c:pt idx="15">
                  <c:v>1.5641658600518238</c:v>
                </c:pt>
                <c:pt idx="16">
                  <c:v>1.6132852170747967</c:v>
                </c:pt>
                <c:pt idx="17">
                  <c:v>1.6383823641760884</c:v>
                </c:pt>
                <c:pt idx="18">
                  <c:v>1.4585068852944598</c:v>
                </c:pt>
                <c:pt idx="19">
                  <c:v>0.99425555590509973</c:v>
                </c:pt>
                <c:pt idx="20">
                  <c:v>0.98580439876927484</c:v>
                </c:pt>
                <c:pt idx="21">
                  <c:v>0.9840790980584404</c:v>
                </c:pt>
                <c:pt idx="22">
                  <c:v>0.98411598738093875</c:v>
                </c:pt>
              </c:numCache>
              <c:extLst xmlns:c15="http://schemas.microsoft.com/office/drawing/2012/chart"/>
            </c:numRef>
          </c:xVal>
          <c:yVal>
            <c:numRef>
              <c:f>m!$AP$98:$BL$98</c:f>
              <c:numCache>
                <c:formatCode>General</c:formatCode>
                <c:ptCount val="23"/>
                <c:pt idx="0">
                  <c:v>18.091723115636935</c:v>
                </c:pt>
                <c:pt idx="1">
                  <c:v>5.3889016440711481</c:v>
                </c:pt>
                <c:pt idx="2">
                  <c:v>1.3190669639479351</c:v>
                </c:pt>
                <c:pt idx="4">
                  <c:v>0.91108852235585536</c:v>
                </c:pt>
                <c:pt idx="6">
                  <c:v>3.1043211233859296</c:v>
                </c:pt>
                <c:pt idx="12">
                  <c:v>2.243363998249607</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1-F634-4DA4-B499-9C8E31ACC391}"/>
            </c:ext>
          </c:extLst>
        </c:ser>
        <c:ser>
          <c:idx val="12"/>
          <c:order val="2"/>
          <c:tx>
            <c:v>Pipe 1</c:v>
          </c:tx>
          <c:spPr>
            <a:ln w="25400" cap="rnd">
              <a:noFill/>
              <a:round/>
            </a:ln>
            <a:effectLst/>
          </c:spPr>
          <c:marker>
            <c:symbol val="circle"/>
            <c:size val="8"/>
            <c:spPr>
              <a:noFill/>
              <a:ln w="15875">
                <a:solidFill>
                  <a:schemeClr val="accent6"/>
                </a:solidFill>
              </a:ln>
              <a:effectLst/>
            </c:spPr>
          </c:marker>
          <c:xVal>
            <c:numRef>
              <c:f>m!$BM$161:$CO$161</c:f>
              <c:numCache>
                <c:formatCode>General</c:formatCode>
                <c:ptCount val="29"/>
                <c:pt idx="0">
                  <c:v>1.2258881001459796</c:v>
                </c:pt>
                <c:pt idx="1">
                  <c:v>2.3094029916767491</c:v>
                </c:pt>
                <c:pt idx="2">
                  <c:v>5.1623783448521205</c:v>
                </c:pt>
                <c:pt idx="3">
                  <c:v>1.0129125380506823</c:v>
                </c:pt>
                <c:pt idx="4">
                  <c:v>1.0482201640159581</c:v>
                </c:pt>
                <c:pt idx="5">
                  <c:v>1.045273252008506</c:v>
                </c:pt>
                <c:pt idx="6">
                  <c:v>1.133612445825225</c:v>
                </c:pt>
                <c:pt idx="7">
                  <c:v>1.2302596470893492</c:v>
                </c:pt>
                <c:pt idx="8">
                  <c:v>1.3227449205923549</c:v>
                </c:pt>
                <c:pt idx="9">
                  <c:v>1.3837515245691911</c:v>
                </c:pt>
                <c:pt idx="10">
                  <c:v>1.6103471895428507</c:v>
                </c:pt>
                <c:pt idx="11">
                  <c:v>1.7584526503753311</c:v>
                </c:pt>
                <c:pt idx="12">
                  <c:v>1.9575346842123191</c:v>
                </c:pt>
                <c:pt idx="13">
                  <c:v>1.0121013846701448</c:v>
                </c:pt>
                <c:pt idx="14">
                  <c:v>1.3788982031804389</c:v>
                </c:pt>
                <c:pt idx="15">
                  <c:v>1.2833830619711637</c:v>
                </c:pt>
                <c:pt idx="16">
                  <c:v>1.882200628370333</c:v>
                </c:pt>
                <c:pt idx="17">
                  <c:v>2.0512777005682579</c:v>
                </c:pt>
                <c:pt idx="18">
                  <c:v>2.1860543773413417</c:v>
                </c:pt>
                <c:pt idx="19">
                  <c:v>2.287196068382614</c:v>
                </c:pt>
                <c:pt idx="20">
                  <c:v>2.7392420614293869</c:v>
                </c:pt>
                <c:pt idx="21">
                  <c:v>3.54817939738275</c:v>
                </c:pt>
                <c:pt idx="22">
                  <c:v>3.8332526406950023</c:v>
                </c:pt>
                <c:pt idx="23">
                  <c:v>4.3033932198125981</c:v>
                </c:pt>
                <c:pt idx="24">
                  <c:v>4.7925970182572444</c:v>
                </c:pt>
                <c:pt idx="25">
                  <c:v>5.1212267533258871</c:v>
                </c:pt>
                <c:pt idx="26">
                  <c:v>5.6379508410201327</c:v>
                </c:pt>
                <c:pt idx="27">
                  <c:v>6.1585118348552808</c:v>
                </c:pt>
                <c:pt idx="28">
                  <c:v>5.718040356564881</c:v>
                </c:pt>
              </c:numCache>
              <c:extLst xmlns:c15="http://schemas.microsoft.com/office/drawing/2012/chart"/>
            </c:numRef>
          </c:xVal>
          <c:yVal>
            <c:numRef>
              <c:f>m!$BM$98:$CO$98</c:f>
              <c:numCache>
                <c:formatCode>General</c:formatCode>
                <c:ptCount val="29"/>
                <c:pt idx="0">
                  <c:v>1.4721629036585979</c:v>
                </c:pt>
                <c:pt idx="1">
                  <c:v>1.5480362378423449</c:v>
                </c:pt>
                <c:pt idx="3">
                  <c:v>0.90249786638612739</c:v>
                </c:pt>
                <c:pt idx="4">
                  <c:v>1.2548781736191221</c:v>
                </c:pt>
                <c:pt idx="5">
                  <c:v>0.88567015677770256</c:v>
                </c:pt>
                <c:pt idx="6">
                  <c:v>1.2580534997085591</c:v>
                </c:pt>
                <c:pt idx="7">
                  <c:v>1.4086537181972587</c:v>
                </c:pt>
                <c:pt idx="8">
                  <c:v>1.4424425452284735</c:v>
                </c:pt>
                <c:pt idx="9">
                  <c:v>1.3515522841626286</c:v>
                </c:pt>
                <c:pt idx="10">
                  <c:v>1.4026992736307624</c:v>
                </c:pt>
                <c:pt idx="11">
                  <c:v>1.4314585251551992</c:v>
                </c:pt>
                <c:pt idx="12">
                  <c:v>1.5559392229897959</c:v>
                </c:pt>
                <c:pt idx="13">
                  <c:v>0.80844108166908912</c:v>
                </c:pt>
                <c:pt idx="14">
                  <c:v>1.5213746682993858</c:v>
                </c:pt>
                <c:pt idx="15">
                  <c:v>1.3043454972624913</c:v>
                </c:pt>
                <c:pt idx="16">
                  <c:v>1.4596760816366705</c:v>
                </c:pt>
                <c:pt idx="17">
                  <c:v>1.5139109842500296</c:v>
                </c:pt>
                <c:pt idx="18">
                  <c:v>1.4617678270470824</c:v>
                </c:pt>
                <c:pt idx="19">
                  <c:v>1.4090881379908915</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2-F634-4DA4-B499-9C8E31ACC391}"/>
            </c:ext>
          </c:extLst>
        </c:ser>
        <c:ser>
          <c:idx val="14"/>
          <c:order val="3"/>
          <c:tx>
            <c:v>Pipe 2</c:v>
          </c:tx>
          <c:spPr>
            <a:ln w="25400" cap="rnd">
              <a:noFill/>
              <a:round/>
            </a:ln>
            <a:effectLst/>
          </c:spPr>
          <c:marker>
            <c:symbol val="circle"/>
            <c:size val="7"/>
            <c:spPr>
              <a:noFill/>
              <a:ln w="15875">
                <a:solidFill>
                  <a:srgbClr val="00B0F0"/>
                </a:solidFill>
              </a:ln>
              <a:effectLst/>
            </c:spPr>
          </c:marker>
          <c:xVal>
            <c:numRef>
              <c:f>m!$CP$161:$DT$161</c:f>
              <c:numCache>
                <c:formatCode>General</c:formatCode>
                <c:ptCount val="31"/>
                <c:pt idx="0">
                  <c:v>1.0321564558369822</c:v>
                </c:pt>
                <c:pt idx="1">
                  <c:v>1.097528866830922</c:v>
                </c:pt>
                <c:pt idx="2">
                  <c:v>1.1525970753688306</c:v>
                </c:pt>
                <c:pt idx="3">
                  <c:v>1.3228428131958012</c:v>
                </c:pt>
                <c:pt idx="4">
                  <c:v>1.449704007093314</c:v>
                </c:pt>
                <c:pt idx="5">
                  <c:v>1.5504709079836283</c:v>
                </c:pt>
                <c:pt idx="6">
                  <c:v>1.722165005540061</c:v>
                </c:pt>
                <c:pt idx="7">
                  <c:v>2.0445813825345067</c:v>
                </c:pt>
                <c:pt idx="8">
                  <c:v>2.299709500390267</c:v>
                </c:pt>
                <c:pt idx="9">
                  <c:v>2.4344383143848187</c:v>
                </c:pt>
                <c:pt idx="10">
                  <c:v>2.7716269445152721</c:v>
                </c:pt>
                <c:pt idx="11">
                  <c:v>3.0098637960176315</c:v>
                </c:pt>
                <c:pt idx="12">
                  <c:v>3.4328846920433516</c:v>
                </c:pt>
                <c:pt idx="13">
                  <c:v>3.2607278989903214</c:v>
                </c:pt>
                <c:pt idx="14">
                  <c:v>2.6512254099007713</c:v>
                </c:pt>
                <c:pt idx="15">
                  <c:v>1.0100464640667737</c:v>
                </c:pt>
                <c:pt idx="16">
                  <c:v>1.1083289547587556</c:v>
                </c:pt>
                <c:pt idx="17">
                  <c:v>1.6499533312248817</c:v>
                </c:pt>
                <c:pt idx="18">
                  <c:v>8.9509048970292042</c:v>
                </c:pt>
                <c:pt idx="19">
                  <c:v>10.440632000370142</c:v>
                </c:pt>
                <c:pt idx="20">
                  <c:v>12.012954943388516</c:v>
                </c:pt>
                <c:pt idx="21">
                  <c:v>13.642977947443288</c:v>
                </c:pt>
                <c:pt idx="22">
                  <c:v>15.540961459150299</c:v>
                </c:pt>
                <c:pt idx="23">
                  <c:v>1.0014912596356473</c:v>
                </c:pt>
                <c:pt idx="24">
                  <c:v>1.0026518544223366</c:v>
                </c:pt>
                <c:pt idx="25">
                  <c:v>1.0073826746519838</c:v>
                </c:pt>
                <c:pt idx="26">
                  <c:v>1.0288079437967377</c:v>
                </c:pt>
                <c:pt idx="27">
                  <c:v>1.007294917077509</c:v>
                </c:pt>
                <c:pt idx="28">
                  <c:v>10.273744338851133</c:v>
                </c:pt>
                <c:pt idx="29">
                  <c:v>14.008734559738274</c:v>
                </c:pt>
                <c:pt idx="30">
                  <c:v>6.3512840499329029</c:v>
                </c:pt>
              </c:numCache>
              <c:extLst xmlns:c15="http://schemas.microsoft.com/office/drawing/2012/chart"/>
            </c:numRef>
          </c:xVal>
          <c:yVal>
            <c:numRef>
              <c:f>m!$CP$98:$DT$98</c:f>
              <c:numCache>
                <c:formatCode>General</c:formatCode>
                <c:ptCount val="31"/>
                <c:pt idx="0">
                  <c:v>1.081863734067221</c:v>
                </c:pt>
                <c:pt idx="1">
                  <c:v>1.2572387167226124</c:v>
                </c:pt>
                <c:pt idx="2">
                  <c:v>1.1360986568109415</c:v>
                </c:pt>
                <c:pt idx="3">
                  <c:v>1.3576209011410898</c:v>
                </c:pt>
                <c:pt idx="4">
                  <c:v>1.3225994715143725</c:v>
                </c:pt>
                <c:pt idx="5">
                  <c:v>1.2009048017560393</c:v>
                </c:pt>
                <c:pt idx="6">
                  <c:v>1.2024251707669846</c:v>
                </c:pt>
                <c:pt idx="7">
                  <c:v>1.3505111224685185</c:v>
                </c:pt>
                <c:pt idx="8">
                  <c:v>1.3765003052903368</c:v>
                </c:pt>
                <c:pt idx="9">
                  <c:v>1.2395390671423394</c:v>
                </c:pt>
                <c:pt idx="10">
                  <c:v>1.2981556887471948</c:v>
                </c:pt>
                <c:pt idx="11">
                  <c:v>1.257810785010453</c:v>
                </c:pt>
                <c:pt idx="12">
                  <c:v>1.3253348418551525</c:v>
                </c:pt>
                <c:pt idx="14">
                  <c:v>1.2049427167060178</c:v>
                </c:pt>
                <c:pt idx="15">
                  <c:v>0.88228711865381537</c:v>
                </c:pt>
                <c:pt idx="18">
                  <c:v>1.2790394256436814</c:v>
                </c:pt>
                <c:pt idx="19">
                  <c:v>1.2477567704151353</c:v>
                </c:pt>
                <c:pt idx="20">
                  <c:v>1.2240896661497742</c:v>
                </c:pt>
                <c:pt idx="21">
                  <c:v>1.2047859430194348</c:v>
                </c:pt>
                <c:pt idx="22">
                  <c:v>1.2118508996619266</c:v>
                </c:pt>
                <c:pt idx="23">
                  <c:v>0.94504193803600101</c:v>
                </c:pt>
                <c:pt idx="24">
                  <c:v>0.56635067051125687</c:v>
                </c:pt>
                <c:pt idx="25">
                  <c:v>1.4550283889555418</c:v>
                </c:pt>
                <c:pt idx="26">
                  <c:v>1.3062872878321061</c:v>
                </c:pt>
                <c:pt idx="27">
                  <c:v>1.0700186763843609</c:v>
                </c:pt>
                <c:pt idx="28">
                  <c:v>1.2758116764282488</c:v>
                </c:pt>
                <c:pt idx="29">
                  <c:v>1.2506521195934672</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3-F634-4DA4-B499-9C8E31ACC391}"/>
            </c:ext>
          </c:extLst>
        </c:ser>
        <c:ser>
          <c:idx val="8"/>
          <c:order val="4"/>
          <c:tx>
            <c:v>Pipe 3 Smooth</c:v>
          </c:tx>
          <c:spPr>
            <a:ln w="25400" cap="rnd">
              <a:noFill/>
              <a:round/>
            </a:ln>
            <a:effectLst/>
          </c:spPr>
          <c:marker>
            <c:symbol val="circle"/>
            <c:size val="7"/>
            <c:spPr>
              <a:noFill/>
              <a:ln w="15875">
                <a:solidFill>
                  <a:schemeClr val="accent2"/>
                </a:solidFill>
              </a:ln>
              <a:effectLst/>
            </c:spPr>
          </c:marker>
          <c:xVal>
            <c:numRef>
              <c:f>m!$DU$161:$DX$161</c:f>
              <c:numCache>
                <c:formatCode>General</c:formatCode>
                <c:ptCount val="4"/>
                <c:pt idx="0">
                  <c:v>1.3124707128858686</c:v>
                </c:pt>
                <c:pt idx="1">
                  <c:v>1.1296643121572034</c:v>
                </c:pt>
                <c:pt idx="2">
                  <c:v>2.0679426985792544</c:v>
                </c:pt>
                <c:pt idx="3">
                  <c:v>8.8077505948243591</c:v>
                </c:pt>
              </c:numCache>
              <c:extLst xmlns:c15="http://schemas.microsoft.com/office/drawing/2012/chart"/>
            </c:numRef>
          </c:xVal>
          <c:yVal>
            <c:numRef>
              <c:f>m!$DU$98:$DX$98</c:f>
              <c:numCache>
                <c:formatCode>General</c:formatCode>
                <c:ptCount val="4"/>
                <c:pt idx="1">
                  <c:v>2.7122544554363386</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4-F634-4DA4-B499-9C8E31ACC391}"/>
            </c:ext>
          </c:extLst>
        </c:ser>
        <c:ser>
          <c:idx val="10"/>
          <c:order val="5"/>
          <c:tx>
            <c:v>Pipe 3 Rough</c:v>
          </c:tx>
          <c:spPr>
            <a:ln w="25400" cap="rnd">
              <a:noFill/>
              <a:round/>
            </a:ln>
            <a:effectLst/>
          </c:spPr>
          <c:marker>
            <c:symbol val="circle"/>
            <c:size val="5"/>
            <c:spPr>
              <a:noFill/>
              <a:ln w="19050">
                <a:solidFill>
                  <a:schemeClr val="accent4"/>
                </a:solidFill>
              </a:ln>
              <a:effectLst/>
            </c:spPr>
          </c:marker>
          <c:xVal>
            <c:numRef>
              <c:f>m!$DY$161:$EL$161</c:f>
              <c:numCache>
                <c:formatCode>General</c:formatCode>
                <c:ptCount val="14"/>
                <c:pt idx="0">
                  <c:v>1.0102571884537961</c:v>
                </c:pt>
                <c:pt idx="1">
                  <c:v>1.0656207977102032</c:v>
                </c:pt>
                <c:pt idx="2">
                  <c:v>1.0953561528365137</c:v>
                </c:pt>
                <c:pt idx="3">
                  <c:v>1.1876890403062252</c:v>
                </c:pt>
                <c:pt idx="4">
                  <c:v>1.2378987986250329</c:v>
                </c:pt>
                <c:pt idx="5">
                  <c:v>1.3299436279299353</c:v>
                </c:pt>
                <c:pt idx="6">
                  <c:v>1.466948761592149</c:v>
                </c:pt>
                <c:pt idx="7">
                  <c:v>1.4873760109907737</c:v>
                </c:pt>
                <c:pt idx="8">
                  <c:v>3.369011333209841</c:v>
                </c:pt>
                <c:pt idx="9">
                  <c:v>4.0522373989250342</c:v>
                </c:pt>
                <c:pt idx="10">
                  <c:v>4.5600652525545362</c:v>
                </c:pt>
                <c:pt idx="11">
                  <c:v>5.1989038856231664</c:v>
                </c:pt>
                <c:pt idx="12">
                  <c:v>4.3630597665577566</c:v>
                </c:pt>
                <c:pt idx="13">
                  <c:v>3.4340394318662262</c:v>
                </c:pt>
              </c:numCache>
            </c:numRef>
          </c:xVal>
          <c:yVal>
            <c:numRef>
              <c:f>m!$DY$98:$EL$98</c:f>
              <c:numCache>
                <c:formatCode>General</c:formatCode>
                <c:ptCount val="14"/>
                <c:pt idx="0">
                  <c:v>2.8970439601952824</c:v>
                </c:pt>
                <c:pt idx="1">
                  <c:v>1.9393886378103995</c:v>
                </c:pt>
                <c:pt idx="2">
                  <c:v>1.6651195070475147</c:v>
                </c:pt>
                <c:pt idx="3">
                  <c:v>1.8599393585114403</c:v>
                </c:pt>
                <c:pt idx="4">
                  <c:v>1.6491517350810048</c:v>
                </c:pt>
                <c:pt idx="5">
                  <c:v>1.652071280773018</c:v>
                </c:pt>
                <c:pt idx="6">
                  <c:v>1.7537014834084816</c:v>
                </c:pt>
                <c:pt idx="7">
                  <c:v>1.4977824916681817</c:v>
                </c:pt>
                <c:pt idx="8">
                  <c:v>1.6834808618964032</c:v>
                </c:pt>
                <c:pt idx="10">
                  <c:v>1.44927158381323</c:v>
                </c:pt>
                <c:pt idx="11">
                  <c:v>1.5791262582892627</c:v>
                </c:pt>
                <c:pt idx="13">
                  <c:v>1.4293414820412804</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5-F634-4DA4-B499-9C8E31ACC391}"/>
            </c:ext>
          </c:extLst>
        </c:ser>
        <c:dLbls>
          <c:showLegendKey val="0"/>
          <c:showVal val="0"/>
          <c:showCatName val="0"/>
          <c:showSerName val="0"/>
          <c:showPercent val="0"/>
          <c:showBubbleSize val="0"/>
        </c:dLbls>
        <c:axId val="624399680"/>
        <c:axId val="624400008"/>
        <c:extLst/>
      </c:scatterChart>
      <c:valAx>
        <c:axId val="624399680"/>
        <c:scaling>
          <c:orientation val="minMax"/>
          <c:min val="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Flowing / Still Axial Force Ratio, N</a:t>
                </a:r>
                <a:r>
                  <a:rPr lang="en-US" sz="1400" b="0" i="0" u="none" strike="noStrike" baseline="-25000">
                    <a:effectLst/>
                  </a:rPr>
                  <a:t>s</a:t>
                </a:r>
                <a:r>
                  <a:rPr lang="en-US" sz="1400" b="0" i="0" u="none" strike="noStrike" baseline="0">
                    <a:effectLst/>
                  </a:rPr>
                  <a:t>/N</a:t>
                </a:r>
                <a:r>
                  <a:rPr lang="en-US" sz="1400" b="0" i="0" u="none" strike="noStrike" baseline="-25000">
                    <a:effectLst/>
                  </a:rPr>
                  <a:t>g</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minorUnit val="0.5"/>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Drag Coefficient, c</a:t>
                </a:r>
                <a:r>
                  <a:rPr lang="en-US" sz="1400" b="0" i="0" u="none" strike="noStrike" baseline="-25000">
                    <a:effectLst/>
                  </a:rPr>
                  <a:t>d</a:t>
                </a:r>
                <a:endParaRPr lang="en-US" sz="1400">
                  <a:effectLst/>
                </a:endParaRPr>
              </a:p>
            </c:rich>
          </c:tx>
          <c:layout>
            <c:manualLayout>
              <c:xMode val="edge"/>
              <c:yMode val="edge"/>
              <c:x val="8.3351517621232246E-3"/>
              <c:y val="0.3436371521935826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minorUnit val="0.5"/>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6"/>
          <c:order val="0"/>
          <c:tx>
            <c:v>Ormen Lange</c:v>
          </c:tx>
          <c:spPr>
            <a:ln w="25400" cap="rnd">
              <a:noFill/>
              <a:round/>
            </a:ln>
            <a:effectLst/>
          </c:spPr>
          <c:marker>
            <c:symbol val="circle"/>
            <c:size val="7"/>
            <c:spPr>
              <a:noFill/>
              <a:ln w="15875">
                <a:solidFill>
                  <a:schemeClr val="tx1"/>
                </a:solidFill>
              </a:ln>
              <a:effectLst/>
            </c:spPr>
          </c:marker>
          <c:xVal>
            <c:numRef>
              <c:f>m!$AF$161:$AO$161</c:f>
              <c:numCache>
                <c:formatCode>General</c:formatCode>
                <c:ptCount val="10"/>
                <c:pt idx="0">
                  <c:v>0.99815810809371408</c:v>
                </c:pt>
                <c:pt idx="1">
                  <c:v>0.99775291529283472</c:v>
                </c:pt>
                <c:pt idx="2">
                  <c:v>0.99570239922050974</c:v>
                </c:pt>
                <c:pt idx="3">
                  <c:v>0.99927980648777814</c:v>
                </c:pt>
                <c:pt idx="4">
                  <c:v>1.0142742209705271</c:v>
                </c:pt>
                <c:pt idx="5">
                  <c:v>1.0162924743025807</c:v>
                </c:pt>
                <c:pt idx="6">
                  <c:v>1.0383689788175294</c:v>
                </c:pt>
                <c:pt idx="7">
                  <c:v>1.1007782601085476</c:v>
                </c:pt>
                <c:pt idx="8">
                  <c:v>1.152634079663803</c:v>
                </c:pt>
                <c:pt idx="9">
                  <c:v>1.2153636351591333</c:v>
                </c:pt>
              </c:numCache>
            </c:numRef>
          </c:xVal>
          <c:yVal>
            <c:numRef>
              <c:f>m!$AF$98:$AO$98</c:f>
              <c:numCache>
                <c:formatCode>General</c:formatCode>
                <c:ptCount val="10"/>
                <c:pt idx="6">
                  <c:v>1.2985719350937881</c:v>
                </c:pt>
                <c:pt idx="7">
                  <c:v>1.6722298246376108</c:v>
                </c:pt>
                <c:pt idx="8">
                  <c:v>1.7083555060939886</c:v>
                </c:pt>
                <c:pt idx="9">
                  <c:v>1.6761170486622958</c:v>
                </c:pt>
              </c:numCache>
            </c:numRef>
          </c:yVal>
          <c:smooth val="0"/>
          <c:extLst>
            <c:ext xmlns:c16="http://schemas.microsoft.com/office/drawing/2014/chart" uri="{C3380CC4-5D6E-409C-BE32-E72D297353CC}">
              <c16:uniqueId val="{00000000-9EC0-401F-A936-094D0E3C43D4}"/>
            </c:ext>
          </c:extLst>
        </c:ser>
        <c:ser>
          <c:idx val="7"/>
          <c:order val="1"/>
          <c:tx>
            <c:v>ExxonMobil</c:v>
          </c:tx>
          <c:spPr>
            <a:ln w="25400" cap="rnd">
              <a:noFill/>
              <a:round/>
            </a:ln>
            <a:effectLst/>
          </c:spPr>
          <c:marker>
            <c:symbol val="circle"/>
            <c:size val="7"/>
            <c:spPr>
              <a:noFill/>
              <a:ln w="15875">
                <a:solidFill>
                  <a:schemeClr val="accent3"/>
                </a:solidFill>
              </a:ln>
              <a:effectLst/>
            </c:spPr>
          </c:marker>
          <c:xVal>
            <c:numRef>
              <c:f>m!$AP$161:$BL$161</c:f>
              <c:numCache>
                <c:formatCode>General</c:formatCode>
                <c:ptCount val="23"/>
                <c:pt idx="0">
                  <c:v>1.0082706607197238</c:v>
                </c:pt>
                <c:pt idx="1">
                  <c:v>1.0030355498389345</c:v>
                </c:pt>
                <c:pt idx="2">
                  <c:v>1.0008830594301228</c:v>
                </c:pt>
                <c:pt idx="3">
                  <c:v>0.99541039777952278</c:v>
                </c:pt>
                <c:pt idx="4">
                  <c:v>1.0030048441194246</c:v>
                </c:pt>
                <c:pt idx="5">
                  <c:v>0.99845535101312677</c:v>
                </c:pt>
                <c:pt idx="6">
                  <c:v>1.107052154088138</c:v>
                </c:pt>
                <c:pt idx="7">
                  <c:v>1.1848745068077389</c:v>
                </c:pt>
                <c:pt idx="8">
                  <c:v>1.1712887028468475</c:v>
                </c:pt>
                <c:pt idx="9">
                  <c:v>1.188003987056641</c:v>
                </c:pt>
                <c:pt idx="10">
                  <c:v>1.2061795099437516</c:v>
                </c:pt>
                <c:pt idx="11">
                  <c:v>1.2445881130970482</c:v>
                </c:pt>
                <c:pt idx="12">
                  <c:v>1.3182861331182092</c:v>
                </c:pt>
                <c:pt idx="13">
                  <c:v>1.3783626765292278</c:v>
                </c:pt>
                <c:pt idx="14">
                  <c:v>1.4978136025759008</c:v>
                </c:pt>
                <c:pt idx="15">
                  <c:v>1.5641658600518238</c:v>
                </c:pt>
                <c:pt idx="16">
                  <c:v>1.6132852170747967</c:v>
                </c:pt>
                <c:pt idx="17">
                  <c:v>1.6383823641760884</c:v>
                </c:pt>
                <c:pt idx="18">
                  <c:v>1.4585068852944598</c:v>
                </c:pt>
                <c:pt idx="19">
                  <c:v>0.99425555590509973</c:v>
                </c:pt>
                <c:pt idx="20">
                  <c:v>0.98580439876927484</c:v>
                </c:pt>
                <c:pt idx="21">
                  <c:v>0.9840790980584404</c:v>
                </c:pt>
                <c:pt idx="22">
                  <c:v>0.98411598738093875</c:v>
                </c:pt>
              </c:numCache>
            </c:numRef>
          </c:xVal>
          <c:yVal>
            <c:numRef>
              <c:f>m!$AP$98:$BL$98</c:f>
              <c:numCache>
                <c:formatCode>General</c:formatCode>
                <c:ptCount val="23"/>
                <c:pt idx="0">
                  <c:v>18.091723115636935</c:v>
                </c:pt>
                <c:pt idx="1">
                  <c:v>5.3889016440711481</c:v>
                </c:pt>
                <c:pt idx="2">
                  <c:v>1.3190669639479351</c:v>
                </c:pt>
                <c:pt idx="4">
                  <c:v>0.91108852235585536</c:v>
                </c:pt>
                <c:pt idx="6">
                  <c:v>3.1043211233859296</c:v>
                </c:pt>
                <c:pt idx="12">
                  <c:v>2.243363998249607</c:v>
                </c:pt>
              </c:numCache>
            </c:numRef>
          </c:yVal>
          <c:smooth val="0"/>
          <c:extLst>
            <c:ext xmlns:c16="http://schemas.microsoft.com/office/drawing/2014/chart" uri="{C3380CC4-5D6E-409C-BE32-E72D297353CC}">
              <c16:uniqueId val="{00000001-9EC0-401F-A936-094D0E3C43D4}"/>
            </c:ext>
          </c:extLst>
        </c:ser>
        <c:ser>
          <c:idx val="12"/>
          <c:order val="2"/>
          <c:tx>
            <c:v>Pipe 1</c:v>
          </c:tx>
          <c:spPr>
            <a:ln w="25400" cap="rnd">
              <a:noFill/>
              <a:round/>
            </a:ln>
            <a:effectLst/>
          </c:spPr>
          <c:marker>
            <c:symbol val="circle"/>
            <c:size val="8"/>
            <c:spPr>
              <a:noFill/>
              <a:ln w="15875">
                <a:solidFill>
                  <a:schemeClr val="accent6"/>
                </a:solidFill>
              </a:ln>
              <a:effectLst/>
            </c:spPr>
          </c:marker>
          <c:xVal>
            <c:numRef>
              <c:f>m!$BM$161:$CO$161</c:f>
              <c:numCache>
                <c:formatCode>General</c:formatCode>
                <c:ptCount val="29"/>
                <c:pt idx="0">
                  <c:v>1.2258881001459796</c:v>
                </c:pt>
                <c:pt idx="1">
                  <c:v>2.3094029916767491</c:v>
                </c:pt>
                <c:pt idx="2">
                  <c:v>5.1623783448521205</c:v>
                </c:pt>
                <c:pt idx="3">
                  <c:v>1.0129125380506823</c:v>
                </c:pt>
                <c:pt idx="4">
                  <c:v>1.0482201640159581</c:v>
                </c:pt>
                <c:pt idx="5">
                  <c:v>1.045273252008506</c:v>
                </c:pt>
                <c:pt idx="6">
                  <c:v>1.133612445825225</c:v>
                </c:pt>
                <c:pt idx="7">
                  <c:v>1.2302596470893492</c:v>
                </c:pt>
                <c:pt idx="8">
                  <c:v>1.3227449205923549</c:v>
                </c:pt>
                <c:pt idx="9">
                  <c:v>1.3837515245691911</c:v>
                </c:pt>
                <c:pt idx="10">
                  <c:v>1.6103471895428507</c:v>
                </c:pt>
                <c:pt idx="11">
                  <c:v>1.7584526503753311</c:v>
                </c:pt>
                <c:pt idx="12">
                  <c:v>1.9575346842123191</c:v>
                </c:pt>
                <c:pt idx="13">
                  <c:v>1.0121013846701448</c:v>
                </c:pt>
                <c:pt idx="14">
                  <c:v>1.3788982031804389</c:v>
                </c:pt>
                <c:pt idx="15">
                  <c:v>1.2833830619711637</c:v>
                </c:pt>
                <c:pt idx="16">
                  <c:v>1.882200628370333</c:v>
                </c:pt>
                <c:pt idx="17">
                  <c:v>2.0512777005682579</c:v>
                </c:pt>
                <c:pt idx="18">
                  <c:v>2.1860543773413417</c:v>
                </c:pt>
                <c:pt idx="19">
                  <c:v>2.287196068382614</c:v>
                </c:pt>
                <c:pt idx="20">
                  <c:v>2.7392420614293869</c:v>
                </c:pt>
                <c:pt idx="21">
                  <c:v>3.54817939738275</c:v>
                </c:pt>
                <c:pt idx="22">
                  <c:v>3.8332526406950023</c:v>
                </c:pt>
                <c:pt idx="23">
                  <c:v>4.3033932198125981</c:v>
                </c:pt>
                <c:pt idx="24">
                  <c:v>4.7925970182572444</c:v>
                </c:pt>
                <c:pt idx="25">
                  <c:v>5.1212267533258871</c:v>
                </c:pt>
                <c:pt idx="26">
                  <c:v>5.6379508410201327</c:v>
                </c:pt>
                <c:pt idx="27">
                  <c:v>6.1585118348552808</c:v>
                </c:pt>
                <c:pt idx="28">
                  <c:v>5.718040356564881</c:v>
                </c:pt>
              </c:numCache>
            </c:numRef>
          </c:xVal>
          <c:yVal>
            <c:numRef>
              <c:f>m!$BM$98:$CO$98</c:f>
              <c:numCache>
                <c:formatCode>General</c:formatCode>
                <c:ptCount val="29"/>
                <c:pt idx="0">
                  <c:v>1.4721629036585979</c:v>
                </c:pt>
                <c:pt idx="1">
                  <c:v>1.5480362378423449</c:v>
                </c:pt>
                <c:pt idx="3">
                  <c:v>0.90249786638612739</c:v>
                </c:pt>
                <c:pt idx="4">
                  <c:v>1.2548781736191221</c:v>
                </c:pt>
                <c:pt idx="5">
                  <c:v>0.88567015677770256</c:v>
                </c:pt>
                <c:pt idx="6">
                  <c:v>1.2580534997085591</c:v>
                </c:pt>
                <c:pt idx="7">
                  <c:v>1.4086537181972587</c:v>
                </c:pt>
                <c:pt idx="8">
                  <c:v>1.4424425452284735</c:v>
                </c:pt>
                <c:pt idx="9">
                  <c:v>1.3515522841626286</c:v>
                </c:pt>
                <c:pt idx="10">
                  <c:v>1.4026992736307624</c:v>
                </c:pt>
                <c:pt idx="11">
                  <c:v>1.4314585251551992</c:v>
                </c:pt>
                <c:pt idx="12">
                  <c:v>1.5559392229897959</c:v>
                </c:pt>
                <c:pt idx="13">
                  <c:v>0.80844108166908912</c:v>
                </c:pt>
                <c:pt idx="14">
                  <c:v>1.5213746682993858</c:v>
                </c:pt>
                <c:pt idx="15">
                  <c:v>1.3043454972624913</c:v>
                </c:pt>
                <c:pt idx="16">
                  <c:v>1.4596760816366705</c:v>
                </c:pt>
                <c:pt idx="17">
                  <c:v>1.5139109842500296</c:v>
                </c:pt>
                <c:pt idx="18">
                  <c:v>1.4617678270470824</c:v>
                </c:pt>
                <c:pt idx="19">
                  <c:v>1.4090881379908915</c:v>
                </c:pt>
              </c:numCache>
            </c:numRef>
          </c:yVal>
          <c:smooth val="0"/>
          <c:extLst>
            <c:ext xmlns:c16="http://schemas.microsoft.com/office/drawing/2014/chart" uri="{C3380CC4-5D6E-409C-BE32-E72D297353CC}">
              <c16:uniqueId val="{00000002-9EC0-401F-A936-094D0E3C43D4}"/>
            </c:ext>
          </c:extLst>
        </c:ser>
        <c:ser>
          <c:idx val="14"/>
          <c:order val="3"/>
          <c:tx>
            <c:v>Pipe 2</c:v>
          </c:tx>
          <c:spPr>
            <a:ln w="25400" cap="rnd">
              <a:noFill/>
              <a:round/>
            </a:ln>
            <a:effectLst/>
          </c:spPr>
          <c:marker>
            <c:symbol val="circle"/>
            <c:size val="7"/>
            <c:spPr>
              <a:noFill/>
              <a:ln w="15875">
                <a:solidFill>
                  <a:srgbClr val="00B0F0"/>
                </a:solidFill>
              </a:ln>
              <a:effectLst/>
            </c:spPr>
          </c:marker>
          <c:xVal>
            <c:numRef>
              <c:f>m!$CP$161:$DT$161</c:f>
              <c:numCache>
                <c:formatCode>General</c:formatCode>
                <c:ptCount val="31"/>
                <c:pt idx="0">
                  <c:v>1.0321564558369822</c:v>
                </c:pt>
                <c:pt idx="1">
                  <c:v>1.097528866830922</c:v>
                </c:pt>
                <c:pt idx="2">
                  <c:v>1.1525970753688306</c:v>
                </c:pt>
                <c:pt idx="3">
                  <c:v>1.3228428131958012</c:v>
                </c:pt>
                <c:pt idx="4">
                  <c:v>1.449704007093314</c:v>
                </c:pt>
                <c:pt idx="5">
                  <c:v>1.5504709079836283</c:v>
                </c:pt>
                <c:pt idx="6">
                  <c:v>1.722165005540061</c:v>
                </c:pt>
                <c:pt idx="7">
                  <c:v>2.0445813825345067</c:v>
                </c:pt>
                <c:pt idx="8">
                  <c:v>2.299709500390267</c:v>
                </c:pt>
                <c:pt idx="9">
                  <c:v>2.4344383143848187</c:v>
                </c:pt>
                <c:pt idx="10">
                  <c:v>2.7716269445152721</c:v>
                </c:pt>
                <c:pt idx="11">
                  <c:v>3.0098637960176315</c:v>
                </c:pt>
                <c:pt idx="12">
                  <c:v>3.4328846920433516</c:v>
                </c:pt>
                <c:pt idx="13">
                  <c:v>3.2607278989903214</c:v>
                </c:pt>
                <c:pt idx="14">
                  <c:v>2.6512254099007713</c:v>
                </c:pt>
                <c:pt idx="15">
                  <c:v>1.0100464640667737</c:v>
                </c:pt>
                <c:pt idx="16">
                  <c:v>1.1083289547587556</c:v>
                </c:pt>
                <c:pt idx="17">
                  <c:v>1.6499533312248817</c:v>
                </c:pt>
                <c:pt idx="18">
                  <c:v>8.9509048970292042</c:v>
                </c:pt>
                <c:pt idx="19">
                  <c:v>10.440632000370142</c:v>
                </c:pt>
                <c:pt idx="20">
                  <c:v>12.012954943388516</c:v>
                </c:pt>
                <c:pt idx="21">
                  <c:v>13.642977947443288</c:v>
                </c:pt>
                <c:pt idx="22">
                  <c:v>15.540961459150299</c:v>
                </c:pt>
                <c:pt idx="23">
                  <c:v>1.0014912596356473</c:v>
                </c:pt>
                <c:pt idx="24">
                  <c:v>1.0026518544223366</c:v>
                </c:pt>
                <c:pt idx="25">
                  <c:v>1.0073826746519838</c:v>
                </c:pt>
                <c:pt idx="26">
                  <c:v>1.0288079437967377</c:v>
                </c:pt>
                <c:pt idx="27">
                  <c:v>1.007294917077509</c:v>
                </c:pt>
                <c:pt idx="28">
                  <c:v>10.273744338851133</c:v>
                </c:pt>
                <c:pt idx="29">
                  <c:v>14.008734559738274</c:v>
                </c:pt>
                <c:pt idx="30">
                  <c:v>6.3512840499329029</c:v>
                </c:pt>
              </c:numCache>
            </c:numRef>
          </c:xVal>
          <c:yVal>
            <c:numRef>
              <c:f>m!$CP$98:$DT$98</c:f>
              <c:numCache>
                <c:formatCode>General</c:formatCode>
                <c:ptCount val="31"/>
                <c:pt idx="0">
                  <c:v>1.081863734067221</c:v>
                </c:pt>
                <c:pt idx="1">
                  <c:v>1.2572387167226124</c:v>
                </c:pt>
                <c:pt idx="2">
                  <c:v>1.1360986568109415</c:v>
                </c:pt>
                <c:pt idx="3">
                  <c:v>1.3576209011410898</c:v>
                </c:pt>
                <c:pt idx="4">
                  <c:v>1.3225994715143725</c:v>
                </c:pt>
                <c:pt idx="5">
                  <c:v>1.2009048017560393</c:v>
                </c:pt>
                <c:pt idx="6">
                  <c:v>1.2024251707669846</c:v>
                </c:pt>
                <c:pt idx="7">
                  <c:v>1.3505111224685185</c:v>
                </c:pt>
                <c:pt idx="8">
                  <c:v>1.3765003052903368</c:v>
                </c:pt>
                <c:pt idx="9">
                  <c:v>1.2395390671423394</c:v>
                </c:pt>
                <c:pt idx="10">
                  <c:v>1.2981556887471948</c:v>
                </c:pt>
                <c:pt idx="11">
                  <c:v>1.257810785010453</c:v>
                </c:pt>
                <c:pt idx="12">
                  <c:v>1.3253348418551525</c:v>
                </c:pt>
                <c:pt idx="14">
                  <c:v>1.2049427167060178</c:v>
                </c:pt>
                <c:pt idx="15">
                  <c:v>0.88228711865381537</c:v>
                </c:pt>
                <c:pt idx="18">
                  <c:v>1.2790394256436814</c:v>
                </c:pt>
                <c:pt idx="19">
                  <c:v>1.2477567704151353</c:v>
                </c:pt>
                <c:pt idx="20">
                  <c:v>1.2240896661497742</c:v>
                </c:pt>
                <c:pt idx="21">
                  <c:v>1.2047859430194348</c:v>
                </c:pt>
                <c:pt idx="22">
                  <c:v>1.2118508996619266</c:v>
                </c:pt>
                <c:pt idx="23">
                  <c:v>0.94504193803600101</c:v>
                </c:pt>
                <c:pt idx="24">
                  <c:v>0.56635067051125687</c:v>
                </c:pt>
                <c:pt idx="25">
                  <c:v>1.4550283889555418</c:v>
                </c:pt>
                <c:pt idx="26">
                  <c:v>1.3062872878321061</c:v>
                </c:pt>
                <c:pt idx="27">
                  <c:v>1.0700186763843609</c:v>
                </c:pt>
                <c:pt idx="28">
                  <c:v>1.2758116764282488</c:v>
                </c:pt>
                <c:pt idx="29">
                  <c:v>1.2506521195934672</c:v>
                </c:pt>
              </c:numCache>
            </c:numRef>
          </c:yVal>
          <c:smooth val="0"/>
          <c:extLst>
            <c:ext xmlns:c16="http://schemas.microsoft.com/office/drawing/2014/chart" uri="{C3380CC4-5D6E-409C-BE32-E72D297353CC}">
              <c16:uniqueId val="{00000003-9EC0-401F-A936-094D0E3C43D4}"/>
            </c:ext>
          </c:extLst>
        </c:ser>
        <c:ser>
          <c:idx val="8"/>
          <c:order val="4"/>
          <c:tx>
            <c:v>Pipe 3 Smooth</c:v>
          </c:tx>
          <c:spPr>
            <a:ln w="25400" cap="rnd">
              <a:noFill/>
              <a:round/>
            </a:ln>
            <a:effectLst/>
          </c:spPr>
          <c:marker>
            <c:symbol val="circle"/>
            <c:size val="7"/>
            <c:spPr>
              <a:noFill/>
              <a:ln w="15875">
                <a:solidFill>
                  <a:schemeClr val="accent2"/>
                </a:solidFill>
              </a:ln>
              <a:effectLst/>
            </c:spPr>
          </c:marker>
          <c:xVal>
            <c:numRef>
              <c:f>m!$DU$161:$DX$161</c:f>
              <c:numCache>
                <c:formatCode>General</c:formatCode>
                <c:ptCount val="4"/>
                <c:pt idx="0">
                  <c:v>1.3124707128858686</c:v>
                </c:pt>
                <c:pt idx="1">
                  <c:v>1.1296643121572034</c:v>
                </c:pt>
                <c:pt idx="2">
                  <c:v>2.0679426985792544</c:v>
                </c:pt>
                <c:pt idx="3">
                  <c:v>8.8077505948243591</c:v>
                </c:pt>
              </c:numCache>
            </c:numRef>
          </c:xVal>
          <c:yVal>
            <c:numRef>
              <c:f>m!$DU$98:$DX$98</c:f>
              <c:numCache>
                <c:formatCode>General</c:formatCode>
                <c:ptCount val="4"/>
                <c:pt idx="1">
                  <c:v>2.7122544554363386</c:v>
                </c:pt>
              </c:numCache>
            </c:numRef>
          </c:yVal>
          <c:smooth val="0"/>
          <c:extLst>
            <c:ext xmlns:c16="http://schemas.microsoft.com/office/drawing/2014/chart" uri="{C3380CC4-5D6E-409C-BE32-E72D297353CC}">
              <c16:uniqueId val="{00000004-9EC0-401F-A936-094D0E3C43D4}"/>
            </c:ext>
          </c:extLst>
        </c:ser>
        <c:ser>
          <c:idx val="10"/>
          <c:order val="5"/>
          <c:tx>
            <c:v>Pipe 3 Rough</c:v>
          </c:tx>
          <c:spPr>
            <a:ln w="25400" cap="rnd">
              <a:noFill/>
              <a:round/>
            </a:ln>
            <a:effectLst/>
          </c:spPr>
          <c:marker>
            <c:symbol val="circle"/>
            <c:size val="5"/>
            <c:spPr>
              <a:noFill/>
              <a:ln w="19050">
                <a:solidFill>
                  <a:schemeClr val="accent4"/>
                </a:solidFill>
              </a:ln>
              <a:effectLst/>
            </c:spPr>
          </c:marker>
          <c:xVal>
            <c:numRef>
              <c:f>m!$DY$161:$EL$161</c:f>
              <c:numCache>
                <c:formatCode>General</c:formatCode>
                <c:ptCount val="14"/>
                <c:pt idx="0">
                  <c:v>1.0102571884537961</c:v>
                </c:pt>
                <c:pt idx="1">
                  <c:v>1.0656207977102032</c:v>
                </c:pt>
                <c:pt idx="2">
                  <c:v>1.0953561528365137</c:v>
                </c:pt>
                <c:pt idx="3">
                  <c:v>1.1876890403062252</c:v>
                </c:pt>
                <c:pt idx="4">
                  <c:v>1.2378987986250329</c:v>
                </c:pt>
                <c:pt idx="5">
                  <c:v>1.3299436279299353</c:v>
                </c:pt>
                <c:pt idx="6">
                  <c:v>1.466948761592149</c:v>
                </c:pt>
                <c:pt idx="7">
                  <c:v>1.4873760109907737</c:v>
                </c:pt>
                <c:pt idx="8">
                  <c:v>3.369011333209841</c:v>
                </c:pt>
                <c:pt idx="9">
                  <c:v>4.0522373989250342</c:v>
                </c:pt>
                <c:pt idx="10">
                  <c:v>4.5600652525545362</c:v>
                </c:pt>
                <c:pt idx="11">
                  <c:v>5.1989038856231664</c:v>
                </c:pt>
                <c:pt idx="12">
                  <c:v>4.3630597665577566</c:v>
                </c:pt>
                <c:pt idx="13">
                  <c:v>3.4340394318662262</c:v>
                </c:pt>
              </c:numCache>
            </c:numRef>
          </c:xVal>
          <c:yVal>
            <c:numRef>
              <c:f>m!$DY$98:$EL$98</c:f>
              <c:numCache>
                <c:formatCode>General</c:formatCode>
                <c:ptCount val="14"/>
                <c:pt idx="0">
                  <c:v>2.8970439601952824</c:v>
                </c:pt>
                <c:pt idx="1">
                  <c:v>1.9393886378103995</c:v>
                </c:pt>
                <c:pt idx="2">
                  <c:v>1.6651195070475147</c:v>
                </c:pt>
                <c:pt idx="3">
                  <c:v>1.8599393585114403</c:v>
                </c:pt>
                <c:pt idx="4">
                  <c:v>1.6491517350810048</c:v>
                </c:pt>
                <c:pt idx="5">
                  <c:v>1.652071280773018</c:v>
                </c:pt>
                <c:pt idx="6">
                  <c:v>1.7537014834084816</c:v>
                </c:pt>
                <c:pt idx="7">
                  <c:v>1.4977824916681817</c:v>
                </c:pt>
                <c:pt idx="8">
                  <c:v>1.6834808618964032</c:v>
                </c:pt>
                <c:pt idx="10">
                  <c:v>1.44927158381323</c:v>
                </c:pt>
                <c:pt idx="11">
                  <c:v>1.5791262582892627</c:v>
                </c:pt>
                <c:pt idx="13">
                  <c:v>1.4293414820412804</c:v>
                </c:pt>
              </c:numCache>
            </c:numRef>
          </c:yVal>
          <c:smooth val="0"/>
          <c:extLst>
            <c:ext xmlns:c16="http://schemas.microsoft.com/office/drawing/2014/chart" uri="{C3380CC4-5D6E-409C-BE32-E72D297353CC}">
              <c16:uniqueId val="{00000005-9EC0-401F-A936-094D0E3C43D4}"/>
            </c:ext>
          </c:extLst>
        </c:ser>
        <c:dLbls>
          <c:showLegendKey val="0"/>
          <c:showVal val="0"/>
          <c:showCatName val="0"/>
          <c:showSerName val="0"/>
          <c:showPercent val="0"/>
          <c:showBubbleSize val="0"/>
        </c:dLbls>
        <c:axId val="624399680"/>
        <c:axId val="624400008"/>
        <c:extLst/>
      </c:scatterChart>
      <c:valAx>
        <c:axId val="624399680"/>
        <c:scaling>
          <c:orientation val="minMax"/>
          <c:min val="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Flowing / Still Axial Force Ratio, N</a:t>
                </a:r>
                <a:r>
                  <a:rPr lang="en-US" sz="1400" b="0" i="0" u="none" strike="noStrike" baseline="-25000">
                    <a:effectLst/>
                  </a:rPr>
                  <a:t>s</a:t>
                </a:r>
                <a:r>
                  <a:rPr lang="en-US" sz="1400" b="0" i="0" u="none" strike="noStrike" baseline="0">
                    <a:effectLst/>
                  </a:rPr>
                  <a:t>/N</a:t>
                </a:r>
                <a:r>
                  <a:rPr lang="en-US" sz="1400" b="0" i="0" u="none" strike="noStrike" baseline="-25000">
                    <a:effectLst/>
                  </a:rPr>
                  <a:t>g</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minorUnit val="0.5"/>
      </c:valAx>
      <c:valAx>
        <c:axId val="624400008"/>
        <c:scaling>
          <c:logBase val="10"/>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Drag Coefficient, c</a:t>
                </a:r>
                <a:r>
                  <a:rPr lang="en-US" sz="1400" b="0" i="0" u="none" strike="noStrike" baseline="-25000">
                    <a:effectLst/>
                  </a:rPr>
                  <a:t>d</a:t>
                </a:r>
                <a:endParaRPr lang="en-US" sz="1400">
                  <a:effectLst/>
                </a:endParaRPr>
              </a:p>
            </c:rich>
          </c:tx>
          <c:layout>
            <c:manualLayout>
              <c:xMode val="edge"/>
              <c:yMode val="edge"/>
              <c:x val="8.3351517621232246E-3"/>
              <c:y val="0.3436371521935826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minorUnit val="0.5"/>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6"/>
          <c:order val="0"/>
          <c:tx>
            <c:v>Ormen Lange</c:v>
          </c:tx>
          <c:spPr>
            <a:ln w="25400" cap="rnd">
              <a:noFill/>
              <a:round/>
            </a:ln>
            <a:effectLst/>
          </c:spPr>
          <c:marker>
            <c:symbol val="circle"/>
            <c:size val="7"/>
            <c:spPr>
              <a:noFill/>
              <a:ln w="15875">
                <a:solidFill>
                  <a:schemeClr val="tx1"/>
                </a:solidFill>
              </a:ln>
              <a:effectLst/>
            </c:spPr>
          </c:marker>
          <c:xVal>
            <c:numRef>
              <c:f>m!$AF$99:$AO$99</c:f>
              <c:numCache>
                <c:formatCode>General</c:formatCode>
                <c:ptCount val="10"/>
                <c:pt idx="6">
                  <c:v>15.552279991221374</c:v>
                </c:pt>
                <c:pt idx="7">
                  <c:v>24.663136603214756</c:v>
                </c:pt>
                <c:pt idx="8">
                  <c:v>29.815214976028731</c:v>
                </c:pt>
                <c:pt idx="9">
                  <c:v>34.711685593277487</c:v>
                </c:pt>
              </c:numCache>
            </c:numRef>
          </c:xVal>
          <c:yVal>
            <c:numRef>
              <c:f>m!$AF$98:$AO$98</c:f>
              <c:numCache>
                <c:formatCode>General</c:formatCode>
                <c:ptCount val="10"/>
                <c:pt idx="6">
                  <c:v>1.2985719350937881</c:v>
                </c:pt>
                <c:pt idx="7">
                  <c:v>1.6722298246376108</c:v>
                </c:pt>
                <c:pt idx="8">
                  <c:v>1.7083555060939886</c:v>
                </c:pt>
                <c:pt idx="9">
                  <c:v>1.6761170486622958</c:v>
                </c:pt>
              </c:numCache>
            </c:numRef>
          </c:yVal>
          <c:smooth val="0"/>
          <c:extLst>
            <c:ext xmlns:c16="http://schemas.microsoft.com/office/drawing/2014/chart" uri="{C3380CC4-5D6E-409C-BE32-E72D297353CC}">
              <c16:uniqueId val="{00000000-C6A6-4B1E-97CA-EE9DF873A1BC}"/>
            </c:ext>
          </c:extLst>
        </c:ser>
        <c:ser>
          <c:idx val="7"/>
          <c:order val="1"/>
          <c:tx>
            <c:v>ExxonMobil</c:v>
          </c:tx>
          <c:spPr>
            <a:ln w="25400" cap="rnd">
              <a:noFill/>
              <a:round/>
            </a:ln>
            <a:effectLst/>
          </c:spPr>
          <c:marker>
            <c:symbol val="circle"/>
            <c:size val="7"/>
            <c:spPr>
              <a:noFill/>
              <a:ln w="15875">
                <a:solidFill>
                  <a:schemeClr val="accent3"/>
                </a:solidFill>
              </a:ln>
              <a:effectLst/>
            </c:spPr>
          </c:marker>
          <c:xVal>
            <c:numRef>
              <c:f>m!$AP$99:$BL$99</c:f>
              <c:numCache>
                <c:formatCode>General</c:formatCode>
                <c:ptCount val="23"/>
                <c:pt idx="0">
                  <c:v>90</c:v>
                </c:pt>
                <c:pt idx="1">
                  <c:v>90</c:v>
                </c:pt>
                <c:pt idx="2">
                  <c:v>90</c:v>
                </c:pt>
                <c:pt idx="4">
                  <c:v>90</c:v>
                </c:pt>
                <c:pt idx="6">
                  <c:v>90</c:v>
                </c:pt>
                <c:pt idx="12">
                  <c:v>90</c:v>
                </c:pt>
              </c:numCache>
            </c:numRef>
          </c:xVal>
          <c:yVal>
            <c:numRef>
              <c:f>m!$AP$98:$BL$98</c:f>
              <c:numCache>
                <c:formatCode>General</c:formatCode>
                <c:ptCount val="23"/>
                <c:pt idx="0">
                  <c:v>18.091723115636935</c:v>
                </c:pt>
                <c:pt idx="1">
                  <c:v>5.3889016440711481</c:v>
                </c:pt>
                <c:pt idx="2">
                  <c:v>1.3190669639479351</c:v>
                </c:pt>
                <c:pt idx="4">
                  <c:v>0.91108852235585536</c:v>
                </c:pt>
                <c:pt idx="6">
                  <c:v>3.1043211233859296</c:v>
                </c:pt>
                <c:pt idx="12">
                  <c:v>2.243363998249607</c:v>
                </c:pt>
              </c:numCache>
            </c:numRef>
          </c:yVal>
          <c:smooth val="0"/>
          <c:extLst>
            <c:ext xmlns:c16="http://schemas.microsoft.com/office/drawing/2014/chart" uri="{C3380CC4-5D6E-409C-BE32-E72D297353CC}">
              <c16:uniqueId val="{00000001-C6A6-4B1E-97CA-EE9DF873A1BC}"/>
            </c:ext>
          </c:extLst>
        </c:ser>
        <c:ser>
          <c:idx val="12"/>
          <c:order val="2"/>
          <c:tx>
            <c:v>Pipe 1</c:v>
          </c:tx>
          <c:spPr>
            <a:ln w="25400" cap="rnd">
              <a:noFill/>
              <a:round/>
            </a:ln>
            <a:effectLst/>
          </c:spPr>
          <c:marker>
            <c:symbol val="circle"/>
            <c:size val="8"/>
            <c:spPr>
              <a:noFill/>
              <a:ln w="15875">
                <a:solidFill>
                  <a:schemeClr val="accent6"/>
                </a:solidFill>
              </a:ln>
              <a:effectLst/>
            </c:spPr>
          </c:marker>
          <c:xVal>
            <c:numRef>
              <c:f>m!$BM$99:$CO$99</c:f>
              <c:numCache>
                <c:formatCode>General</c:formatCode>
                <c:ptCount val="29"/>
                <c:pt idx="0">
                  <c:v>65.150264884378757</c:v>
                </c:pt>
                <c:pt idx="1">
                  <c:v>84.074701260276839</c:v>
                </c:pt>
                <c:pt idx="3">
                  <c:v>58.78586358217715</c:v>
                </c:pt>
                <c:pt idx="4">
                  <c:v>73.160108550867719</c:v>
                </c:pt>
                <c:pt idx="5">
                  <c:v>72.50212179544269</c:v>
                </c:pt>
                <c:pt idx="6">
                  <c:v>80.362803453156289</c:v>
                </c:pt>
                <c:pt idx="7">
                  <c:v>83.162382622085332</c:v>
                </c:pt>
                <c:pt idx="8">
                  <c:v>84.583847738693592</c:v>
                </c:pt>
                <c:pt idx="9">
                  <c:v>85.220419223971192</c:v>
                </c:pt>
                <c:pt idx="10">
                  <c:v>86.6985903538</c:v>
                </c:pt>
                <c:pt idx="11">
                  <c:v>87.209579252902898</c:v>
                </c:pt>
                <c:pt idx="12">
                  <c:v>87.763219888886226</c:v>
                </c:pt>
                <c:pt idx="13">
                  <c:v>55.934938508249431</c:v>
                </c:pt>
                <c:pt idx="14">
                  <c:v>84.86583156020896</c:v>
                </c:pt>
                <c:pt idx="15">
                  <c:v>83.707507896310275</c:v>
                </c:pt>
                <c:pt idx="16">
                  <c:v>87.536728720768849</c:v>
                </c:pt>
                <c:pt idx="17">
                  <c:v>87.979366115312615</c:v>
                </c:pt>
                <c:pt idx="18">
                  <c:v>88.145863558745063</c:v>
                </c:pt>
                <c:pt idx="19">
                  <c:v>88.284363903287655</c:v>
                </c:pt>
              </c:numCache>
            </c:numRef>
          </c:xVal>
          <c:yVal>
            <c:numRef>
              <c:f>m!$BM$98:$CO$98</c:f>
              <c:numCache>
                <c:formatCode>General</c:formatCode>
                <c:ptCount val="29"/>
                <c:pt idx="0">
                  <c:v>1.4721629036585979</c:v>
                </c:pt>
                <c:pt idx="1">
                  <c:v>1.5480362378423449</c:v>
                </c:pt>
                <c:pt idx="3">
                  <c:v>0.90249786638612739</c:v>
                </c:pt>
                <c:pt idx="4">
                  <c:v>1.2548781736191221</c:v>
                </c:pt>
                <c:pt idx="5">
                  <c:v>0.88567015677770256</c:v>
                </c:pt>
                <c:pt idx="6">
                  <c:v>1.2580534997085591</c:v>
                </c:pt>
                <c:pt idx="7">
                  <c:v>1.4086537181972587</c:v>
                </c:pt>
                <c:pt idx="8">
                  <c:v>1.4424425452284735</c:v>
                </c:pt>
                <c:pt idx="9">
                  <c:v>1.3515522841626286</c:v>
                </c:pt>
                <c:pt idx="10">
                  <c:v>1.4026992736307624</c:v>
                </c:pt>
                <c:pt idx="11">
                  <c:v>1.4314585251551992</c:v>
                </c:pt>
                <c:pt idx="12">
                  <c:v>1.5559392229897959</c:v>
                </c:pt>
                <c:pt idx="13">
                  <c:v>0.80844108166908912</c:v>
                </c:pt>
                <c:pt idx="14">
                  <c:v>1.5213746682993858</c:v>
                </c:pt>
                <c:pt idx="15">
                  <c:v>1.3043454972624913</c:v>
                </c:pt>
                <c:pt idx="16">
                  <c:v>1.4596760816366705</c:v>
                </c:pt>
                <c:pt idx="17">
                  <c:v>1.5139109842500296</c:v>
                </c:pt>
                <c:pt idx="18">
                  <c:v>1.4617678270470824</c:v>
                </c:pt>
                <c:pt idx="19">
                  <c:v>1.4090881379908915</c:v>
                </c:pt>
              </c:numCache>
            </c:numRef>
          </c:yVal>
          <c:smooth val="0"/>
          <c:extLst>
            <c:ext xmlns:c16="http://schemas.microsoft.com/office/drawing/2014/chart" uri="{C3380CC4-5D6E-409C-BE32-E72D297353CC}">
              <c16:uniqueId val="{00000002-C6A6-4B1E-97CA-EE9DF873A1BC}"/>
            </c:ext>
          </c:extLst>
        </c:ser>
        <c:ser>
          <c:idx val="14"/>
          <c:order val="3"/>
          <c:tx>
            <c:v>Pipe 2</c:v>
          </c:tx>
          <c:spPr>
            <a:ln w="25400" cap="rnd">
              <a:noFill/>
              <a:round/>
            </a:ln>
            <a:effectLst/>
          </c:spPr>
          <c:marker>
            <c:symbol val="circle"/>
            <c:size val="7"/>
            <c:spPr>
              <a:noFill/>
              <a:ln w="15875">
                <a:solidFill>
                  <a:srgbClr val="00B0F0"/>
                </a:solidFill>
              </a:ln>
              <a:effectLst/>
            </c:spPr>
          </c:marker>
          <c:xVal>
            <c:numRef>
              <c:f>m!$CP$99:$DT$99</c:f>
              <c:numCache>
                <c:formatCode>General</c:formatCode>
                <c:ptCount val="31"/>
                <c:pt idx="0">
                  <c:v>34.865005417648838</c:v>
                </c:pt>
                <c:pt idx="1">
                  <c:v>51.677049127993918</c:v>
                </c:pt>
                <c:pt idx="2">
                  <c:v>58.744029529141748</c:v>
                </c:pt>
                <c:pt idx="3">
                  <c:v>69.514879820300692</c:v>
                </c:pt>
                <c:pt idx="4">
                  <c:v>73.641694521683974</c:v>
                </c:pt>
                <c:pt idx="5">
                  <c:v>75.673515392044436</c:v>
                </c:pt>
                <c:pt idx="6">
                  <c:v>78.321736101042148</c:v>
                </c:pt>
                <c:pt idx="7">
                  <c:v>81.355893326841695</c:v>
                </c:pt>
                <c:pt idx="8">
                  <c:v>82.854071662903451</c:v>
                </c:pt>
                <c:pt idx="9">
                  <c:v>83.237935558310568</c:v>
                </c:pt>
                <c:pt idx="10">
                  <c:v>84.421905836437887</c:v>
                </c:pt>
                <c:pt idx="11">
                  <c:v>84.983566112333264</c:v>
                </c:pt>
                <c:pt idx="12">
                  <c:v>85.810480683321586</c:v>
                </c:pt>
                <c:pt idx="14">
                  <c:v>85.393364497272643</c:v>
                </c:pt>
                <c:pt idx="15">
                  <c:v>17.722451909789172</c:v>
                </c:pt>
                <c:pt idx="18">
                  <c:v>86.155078236590882</c:v>
                </c:pt>
                <c:pt idx="19">
                  <c:v>86.843804047412846</c:v>
                </c:pt>
                <c:pt idx="20">
                  <c:v>87.364319593750992</c:v>
                </c:pt>
                <c:pt idx="21">
                  <c:v>87.76842258785237</c:v>
                </c:pt>
                <c:pt idx="22">
                  <c:v>88.123038519384906</c:v>
                </c:pt>
                <c:pt idx="23">
                  <c:v>8.6493645473778873</c:v>
                </c:pt>
                <c:pt idx="24">
                  <c:v>11.595318783912596</c:v>
                </c:pt>
                <c:pt idx="25">
                  <c:v>18.652481207512476</c:v>
                </c:pt>
                <c:pt idx="26">
                  <c:v>34.276718732814928</c:v>
                </c:pt>
                <c:pt idx="27">
                  <c:v>18.655976732374047</c:v>
                </c:pt>
                <c:pt idx="28">
                  <c:v>85.052779014626282</c:v>
                </c:pt>
                <c:pt idx="29">
                  <c:v>86.491555836167876</c:v>
                </c:pt>
              </c:numCache>
            </c:numRef>
          </c:xVal>
          <c:yVal>
            <c:numRef>
              <c:f>m!$CP$98:$DT$98</c:f>
              <c:numCache>
                <c:formatCode>General</c:formatCode>
                <c:ptCount val="31"/>
                <c:pt idx="0">
                  <c:v>1.081863734067221</c:v>
                </c:pt>
                <c:pt idx="1">
                  <c:v>1.2572387167226124</c:v>
                </c:pt>
                <c:pt idx="2">
                  <c:v>1.1360986568109415</c:v>
                </c:pt>
                <c:pt idx="3">
                  <c:v>1.3576209011410898</c:v>
                </c:pt>
                <c:pt idx="4">
                  <c:v>1.3225994715143725</c:v>
                </c:pt>
                <c:pt idx="5">
                  <c:v>1.2009048017560393</c:v>
                </c:pt>
                <c:pt idx="6">
                  <c:v>1.2024251707669846</c:v>
                </c:pt>
                <c:pt idx="7">
                  <c:v>1.3505111224685185</c:v>
                </c:pt>
                <c:pt idx="8">
                  <c:v>1.3765003052903368</c:v>
                </c:pt>
                <c:pt idx="9">
                  <c:v>1.2395390671423394</c:v>
                </c:pt>
                <c:pt idx="10">
                  <c:v>1.2981556887471948</c:v>
                </c:pt>
                <c:pt idx="11">
                  <c:v>1.257810785010453</c:v>
                </c:pt>
                <c:pt idx="12">
                  <c:v>1.3253348418551525</c:v>
                </c:pt>
                <c:pt idx="14">
                  <c:v>1.2049427167060178</c:v>
                </c:pt>
                <c:pt idx="15">
                  <c:v>0.88228711865381537</c:v>
                </c:pt>
                <c:pt idx="18">
                  <c:v>1.2790394256436814</c:v>
                </c:pt>
                <c:pt idx="19">
                  <c:v>1.2477567704151353</c:v>
                </c:pt>
                <c:pt idx="20">
                  <c:v>1.2240896661497742</c:v>
                </c:pt>
                <c:pt idx="21">
                  <c:v>1.2047859430194348</c:v>
                </c:pt>
                <c:pt idx="22">
                  <c:v>1.2118508996619266</c:v>
                </c:pt>
                <c:pt idx="23">
                  <c:v>0.94504193803600101</c:v>
                </c:pt>
                <c:pt idx="24">
                  <c:v>0.56635067051125687</c:v>
                </c:pt>
                <c:pt idx="25">
                  <c:v>1.4550283889555418</c:v>
                </c:pt>
                <c:pt idx="26">
                  <c:v>1.3062872878321061</c:v>
                </c:pt>
                <c:pt idx="27">
                  <c:v>1.0700186763843609</c:v>
                </c:pt>
                <c:pt idx="28">
                  <c:v>1.2758116764282488</c:v>
                </c:pt>
                <c:pt idx="29">
                  <c:v>1.2506521195934672</c:v>
                </c:pt>
              </c:numCache>
            </c:numRef>
          </c:yVal>
          <c:smooth val="0"/>
          <c:extLst>
            <c:ext xmlns:c16="http://schemas.microsoft.com/office/drawing/2014/chart" uri="{C3380CC4-5D6E-409C-BE32-E72D297353CC}">
              <c16:uniqueId val="{00000003-C6A6-4B1E-97CA-EE9DF873A1BC}"/>
            </c:ext>
          </c:extLst>
        </c:ser>
        <c:ser>
          <c:idx val="8"/>
          <c:order val="4"/>
          <c:tx>
            <c:v>Pipe 3 Smooth</c:v>
          </c:tx>
          <c:spPr>
            <a:ln w="25400" cap="rnd">
              <a:noFill/>
              <a:round/>
            </a:ln>
            <a:effectLst/>
          </c:spPr>
          <c:marker>
            <c:symbol val="circle"/>
            <c:size val="7"/>
            <c:spPr>
              <a:noFill/>
              <a:ln w="15875">
                <a:solidFill>
                  <a:schemeClr val="accent2"/>
                </a:solidFill>
              </a:ln>
              <a:effectLst/>
            </c:spPr>
          </c:marker>
          <c:xVal>
            <c:numRef>
              <c:f>m!$DU$99:$DX$99</c:f>
              <c:numCache>
                <c:formatCode>General</c:formatCode>
                <c:ptCount val="4"/>
                <c:pt idx="1">
                  <c:v>76.202294229334612</c:v>
                </c:pt>
              </c:numCache>
            </c:numRef>
          </c:xVal>
          <c:yVal>
            <c:numRef>
              <c:f>m!$DU$98:$DX$98</c:f>
              <c:numCache>
                <c:formatCode>General</c:formatCode>
                <c:ptCount val="4"/>
                <c:pt idx="1">
                  <c:v>2.7122544554363386</c:v>
                </c:pt>
              </c:numCache>
            </c:numRef>
          </c:yVal>
          <c:smooth val="0"/>
          <c:extLst>
            <c:ext xmlns:c16="http://schemas.microsoft.com/office/drawing/2014/chart" uri="{C3380CC4-5D6E-409C-BE32-E72D297353CC}">
              <c16:uniqueId val="{00000004-C6A6-4B1E-97CA-EE9DF873A1BC}"/>
            </c:ext>
          </c:extLst>
        </c:ser>
        <c:ser>
          <c:idx val="10"/>
          <c:order val="5"/>
          <c:tx>
            <c:v>Pipe 3 Rough</c:v>
          </c:tx>
          <c:spPr>
            <a:ln w="25400" cap="rnd">
              <a:noFill/>
              <a:round/>
            </a:ln>
            <a:effectLst/>
          </c:spPr>
          <c:marker>
            <c:symbol val="circle"/>
            <c:size val="5"/>
            <c:spPr>
              <a:noFill/>
              <a:ln w="19050">
                <a:solidFill>
                  <a:schemeClr val="accent4"/>
                </a:solidFill>
              </a:ln>
              <a:effectLst/>
            </c:spPr>
          </c:marker>
          <c:xVal>
            <c:numRef>
              <c:f>m!$DY$99:$EL$99</c:f>
              <c:numCache>
                <c:formatCode>General</c:formatCode>
                <c:ptCount val="14"/>
                <c:pt idx="0">
                  <c:v>47.397305839882812</c:v>
                </c:pt>
                <c:pt idx="1">
                  <c:v>71.03781740122426</c:v>
                </c:pt>
                <c:pt idx="2">
                  <c:v>74.467960751644313</c:v>
                </c:pt>
                <c:pt idx="3">
                  <c:v>79.644697268320797</c:v>
                </c:pt>
                <c:pt idx="4">
                  <c:v>81.03383742692796</c:v>
                </c:pt>
                <c:pt idx="5">
                  <c:v>82.903250040996681</c:v>
                </c:pt>
                <c:pt idx="6">
                  <c:v>84.576383809409549</c:v>
                </c:pt>
                <c:pt idx="7">
                  <c:v>84.749467356164828</c:v>
                </c:pt>
                <c:pt idx="8">
                  <c:v>85.327438691672995</c:v>
                </c:pt>
                <c:pt idx="10">
                  <c:v>87.076525533900551</c:v>
                </c:pt>
                <c:pt idx="11">
                  <c:v>87.63990133277845</c:v>
                </c:pt>
                <c:pt idx="13">
                  <c:v>85.372327893141644</c:v>
                </c:pt>
              </c:numCache>
            </c:numRef>
          </c:xVal>
          <c:yVal>
            <c:numRef>
              <c:f>m!$DY$98:$EL$98</c:f>
              <c:numCache>
                <c:formatCode>General</c:formatCode>
                <c:ptCount val="14"/>
                <c:pt idx="0">
                  <c:v>2.8970439601952824</c:v>
                </c:pt>
                <c:pt idx="1">
                  <c:v>1.9393886378103995</c:v>
                </c:pt>
                <c:pt idx="2">
                  <c:v>1.6651195070475147</c:v>
                </c:pt>
                <c:pt idx="3">
                  <c:v>1.8599393585114403</c:v>
                </c:pt>
                <c:pt idx="4">
                  <c:v>1.6491517350810048</c:v>
                </c:pt>
                <c:pt idx="5">
                  <c:v>1.652071280773018</c:v>
                </c:pt>
                <c:pt idx="6">
                  <c:v>1.7537014834084816</c:v>
                </c:pt>
                <c:pt idx="7">
                  <c:v>1.4977824916681817</c:v>
                </c:pt>
                <c:pt idx="8">
                  <c:v>1.6834808618964032</c:v>
                </c:pt>
                <c:pt idx="10">
                  <c:v>1.44927158381323</c:v>
                </c:pt>
                <c:pt idx="11">
                  <c:v>1.5791262582892627</c:v>
                </c:pt>
                <c:pt idx="13">
                  <c:v>1.4293414820412804</c:v>
                </c:pt>
              </c:numCache>
            </c:numRef>
          </c:yVal>
          <c:smooth val="0"/>
          <c:extLst>
            <c:ext xmlns:c16="http://schemas.microsoft.com/office/drawing/2014/chart" uri="{C3380CC4-5D6E-409C-BE32-E72D297353CC}">
              <c16:uniqueId val="{00000005-C6A6-4B1E-97CA-EE9DF873A1BC}"/>
            </c:ext>
          </c:extLst>
        </c:ser>
        <c:dLbls>
          <c:showLegendKey val="0"/>
          <c:showVal val="0"/>
          <c:showCatName val="0"/>
          <c:showSerName val="0"/>
          <c:showPercent val="0"/>
          <c:showBubbleSize val="0"/>
        </c:dLbls>
        <c:axId val="624399680"/>
        <c:axId val="624400008"/>
        <c:extLst/>
      </c:scatterChart>
      <c:valAx>
        <c:axId val="624399680"/>
        <c:scaling>
          <c:orientation val="minMax"/>
          <c:max val="9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Angle of Static Plane from Vertical, θ (degrees)</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logBase val="10"/>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Drag Coefficient, c</a:t>
                </a:r>
                <a:r>
                  <a:rPr lang="en-US" sz="1400" b="0" i="0" u="none" strike="noStrike" baseline="-25000">
                    <a:effectLst/>
                  </a:rPr>
                  <a:t>d</a:t>
                </a:r>
                <a:endParaRPr lang="en-US" sz="1400">
                  <a:effectLst/>
                </a:endParaRPr>
              </a:p>
            </c:rich>
          </c:tx>
          <c:layout>
            <c:manualLayout>
              <c:xMode val="edge"/>
              <c:yMode val="edge"/>
              <c:x val="8.3351517621232246E-3"/>
              <c:y val="0.3436371521935826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minorUnit val="0.5"/>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27784715558299E-2"/>
          <c:y val="2.0550807217473883E-2"/>
          <c:w val="0.71312695262007109"/>
          <c:h val="0.86113960113960109"/>
        </c:manualLayout>
      </c:layout>
      <c:scatterChart>
        <c:scatterStyle val="lineMarker"/>
        <c:varyColors val="0"/>
        <c:ser>
          <c:idx val="6"/>
          <c:order val="0"/>
          <c:tx>
            <c:v>Ormen Lange</c:v>
          </c:tx>
          <c:spPr>
            <a:ln w="25400" cap="rnd">
              <a:noFill/>
              <a:round/>
            </a:ln>
            <a:effectLst/>
          </c:spPr>
          <c:marker>
            <c:symbol val="circle"/>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numRef>
          </c:xVal>
          <c:yVal>
            <c:numRef>
              <c:f>m!$AF$88:$AO$88</c:f>
              <c:numCache>
                <c:formatCode>General</c:formatCode>
                <c:ptCount val="10"/>
                <c:pt idx="6">
                  <c:v>1.2077756213486157</c:v>
                </c:pt>
                <c:pt idx="7">
                  <c:v>1.1056289978340066</c:v>
                </c:pt>
                <c:pt idx="8">
                  <c:v>1.0251873368791706</c:v>
                </c:pt>
                <c:pt idx="9">
                  <c:v>0.95931262586627597</c:v>
                </c:pt>
              </c:numCache>
            </c:numRef>
          </c:yVal>
          <c:smooth val="0"/>
          <c:extLst>
            <c:ext xmlns:c16="http://schemas.microsoft.com/office/drawing/2014/chart" uri="{C3380CC4-5D6E-409C-BE32-E72D297353CC}">
              <c16:uniqueId val="{00000000-20D0-4FD3-B02F-8B5CC636D5A9}"/>
            </c:ext>
          </c:extLst>
        </c:ser>
        <c:ser>
          <c:idx val="7"/>
          <c:order val="1"/>
          <c:tx>
            <c:v>ExxonMobil</c:v>
          </c:tx>
          <c:spPr>
            <a:ln w="25400" cap="rnd">
              <a:noFill/>
              <a:round/>
            </a:ln>
            <a:effectLst/>
          </c:spPr>
          <c:marker>
            <c:symbol val="circle"/>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f>m!$AP$88:$BL$88</c:f>
              <c:numCache>
                <c:formatCode>General</c:formatCode>
                <c:ptCount val="23"/>
                <c:pt idx="0">
                  <c:v>24.391892556467965</c:v>
                </c:pt>
                <c:pt idx="1">
                  <c:v>12.39314191041627</c:v>
                </c:pt>
                <c:pt idx="2">
                  <c:v>6.0526881112960602</c:v>
                </c:pt>
                <c:pt idx="3">
                  <c:v>3.7666895969175127</c:v>
                </c:pt>
                <c:pt idx="4">
                  <c:v>2.6785350127838461</c:v>
                </c:pt>
                <c:pt idx="6">
                  <c:v>1.8850320220016954</c:v>
                </c:pt>
                <c:pt idx="12">
                  <c:v>1.1515535876000997</c:v>
                </c:pt>
                <c:pt idx="19">
                  <c:v>16.152806707052129</c:v>
                </c:pt>
                <c:pt idx="20">
                  <c:v>8.0284894017907167</c:v>
                </c:pt>
                <c:pt idx="21">
                  <c:v>11.824562591088151</c:v>
                </c:pt>
              </c:numCache>
            </c:numRef>
          </c:yVal>
          <c:smooth val="0"/>
          <c:extLst>
            <c:ext xmlns:c16="http://schemas.microsoft.com/office/drawing/2014/chart" uri="{C3380CC4-5D6E-409C-BE32-E72D297353CC}">
              <c16:uniqueId val="{00000001-20D0-4FD3-B02F-8B5CC636D5A9}"/>
            </c:ext>
          </c:extLst>
        </c:ser>
        <c:ser>
          <c:idx val="12"/>
          <c:order val="2"/>
          <c:tx>
            <c:v>Pipe 1</c:v>
          </c:tx>
          <c:spPr>
            <a:ln w="25400" cap="rnd">
              <a:noFill/>
              <a:round/>
            </a:ln>
            <a:effectLst/>
          </c:spPr>
          <c:marker>
            <c:symbol val="circle"/>
            <c:size val="8"/>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numRef>
          </c:xVal>
          <c:yVal>
            <c:numRef>
              <c:f>m!$BM$88:$CO$88</c:f>
              <c:numCache>
                <c:formatCode>General</c:formatCode>
                <c:ptCount val="29"/>
                <c:pt idx="0">
                  <c:v>9.058449261180316</c:v>
                </c:pt>
                <c:pt idx="1">
                  <c:v>7.8664433508505711</c:v>
                </c:pt>
                <c:pt idx="3">
                  <c:v>30.065626016914369</c:v>
                </c:pt>
                <c:pt idx="4">
                  <c:v>22.639463651886633</c:v>
                </c:pt>
                <c:pt idx="5">
                  <c:v>16.656638164149282</c:v>
                </c:pt>
                <c:pt idx="6">
                  <c:v>15.021212136386572</c:v>
                </c:pt>
                <c:pt idx="7">
                  <c:v>13.951169656448213</c:v>
                </c:pt>
                <c:pt idx="8">
                  <c:v>13.01388949792244</c:v>
                </c:pt>
                <c:pt idx="9">
                  <c:v>11.766366373383427</c:v>
                </c:pt>
                <c:pt idx="10">
                  <c:v>11.269336129968526</c:v>
                </c:pt>
                <c:pt idx="11">
                  <c:v>11.170898139527413</c:v>
                </c:pt>
                <c:pt idx="12">
                  <c:v>11.960799378255555</c:v>
                </c:pt>
                <c:pt idx="13">
                  <c:v>27.162889586886486</c:v>
                </c:pt>
                <c:pt idx="14">
                  <c:v>12.912503702619032</c:v>
                </c:pt>
                <c:pt idx="15">
                  <c:v>12.021652336608035</c:v>
                </c:pt>
                <c:pt idx="16">
                  <c:v>11.232099961635724</c:v>
                </c:pt>
                <c:pt idx="17">
                  <c:v>11.693849947411628</c:v>
                </c:pt>
                <c:pt idx="18">
                  <c:v>11.223698400411086</c:v>
                </c:pt>
                <c:pt idx="19">
                  <c:v>10.86580831318318</c:v>
                </c:pt>
              </c:numCache>
            </c:numRef>
          </c:yVal>
          <c:smooth val="0"/>
          <c:extLst>
            <c:ext xmlns:c16="http://schemas.microsoft.com/office/drawing/2014/chart" uri="{C3380CC4-5D6E-409C-BE32-E72D297353CC}">
              <c16:uniqueId val="{00000002-20D0-4FD3-B02F-8B5CC636D5A9}"/>
            </c:ext>
          </c:extLst>
        </c:ser>
        <c:ser>
          <c:idx val="14"/>
          <c:order val="3"/>
          <c:tx>
            <c:v>Pipe 2</c:v>
          </c:tx>
          <c:spPr>
            <a:ln w="25400" cap="rnd">
              <a:noFill/>
              <a:round/>
            </a:ln>
            <a:effectLst/>
          </c:spPr>
          <c:marker>
            <c:symbol val="circle"/>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numRef>
          </c:xVal>
          <c:yVal>
            <c:numRef>
              <c:f>m!$CP$88:$DT$88</c:f>
              <c:numCache>
                <c:formatCode>General</c:formatCode>
                <c:ptCount val="31"/>
                <c:pt idx="0">
                  <c:v>14.967634874281726</c:v>
                </c:pt>
                <c:pt idx="1">
                  <c:v>10.859495391314089</c:v>
                </c:pt>
                <c:pt idx="2">
                  <c:v>8.4563881945228196</c:v>
                </c:pt>
                <c:pt idx="3">
                  <c:v>8.0451490313237208</c:v>
                </c:pt>
                <c:pt idx="4">
                  <c:v>7.3666796900735303</c:v>
                </c:pt>
                <c:pt idx="5">
                  <c:v>6.5196411657785642</c:v>
                </c:pt>
                <c:pt idx="6">
                  <c:v>6.3301131825501749</c:v>
                </c:pt>
                <c:pt idx="7">
                  <c:v>6.8827228840656973</c:v>
                </c:pt>
                <c:pt idx="8">
                  <c:v>7.0094627058965058</c:v>
                </c:pt>
                <c:pt idx="9">
                  <c:v>6.3298791757150115</c:v>
                </c:pt>
                <c:pt idx="10">
                  <c:v>6.6780438219414266</c:v>
                </c:pt>
                <c:pt idx="11">
                  <c:v>6.5385293353880218</c:v>
                </c:pt>
                <c:pt idx="12">
                  <c:v>6.9941799281985251</c:v>
                </c:pt>
                <c:pt idx="14">
                  <c:v>6.8232928038368632</c:v>
                </c:pt>
                <c:pt idx="15">
                  <c:v>18.904292224553938</c:v>
                </c:pt>
                <c:pt idx="18">
                  <c:v>4.9032420224881452</c:v>
                </c:pt>
                <c:pt idx="19">
                  <c:v>5.154905288650987</c:v>
                </c:pt>
                <c:pt idx="20">
                  <c:v>5.408353073811563</c:v>
                </c:pt>
                <c:pt idx="21">
                  <c:v>5.6648585615667919</c:v>
                </c:pt>
                <c:pt idx="22">
                  <c:v>6.0623627952754546</c:v>
                </c:pt>
                <c:pt idx="23">
                  <c:v>57.260760259312697</c:v>
                </c:pt>
                <c:pt idx="24">
                  <c:v>26.427104906202789</c:v>
                </c:pt>
                <c:pt idx="25">
                  <c:v>40.004296051188781</c:v>
                </c:pt>
                <c:pt idx="26">
                  <c:v>19.130558061300469</c:v>
                </c:pt>
                <c:pt idx="27">
                  <c:v>29.934930652950253</c:v>
                </c:pt>
                <c:pt idx="28">
                  <c:v>2.6231064436735849</c:v>
                </c:pt>
                <c:pt idx="29">
                  <c:v>3.0770338188674491</c:v>
                </c:pt>
              </c:numCache>
            </c:numRef>
          </c:yVal>
          <c:smooth val="0"/>
          <c:extLst>
            <c:ext xmlns:c16="http://schemas.microsoft.com/office/drawing/2014/chart" uri="{C3380CC4-5D6E-409C-BE32-E72D297353CC}">
              <c16:uniqueId val="{00000003-20D0-4FD3-B02F-8B5CC636D5A9}"/>
            </c:ext>
          </c:extLst>
        </c:ser>
        <c:ser>
          <c:idx val="8"/>
          <c:order val="4"/>
          <c:tx>
            <c:v>Pipe 3 Smooth</c:v>
          </c:tx>
          <c:spPr>
            <a:ln w="25400" cap="rnd">
              <a:noFill/>
              <a:round/>
            </a:ln>
            <a:effectLst/>
          </c:spPr>
          <c:marker>
            <c:symbol val="circle"/>
            <c:size val="7"/>
            <c:spPr>
              <a:noFill/>
              <a:ln w="15875">
                <a:solidFill>
                  <a:schemeClr val="accent2"/>
                </a:solidFill>
              </a:ln>
              <a:effectLst/>
            </c:spPr>
          </c:marker>
          <c:xVal>
            <c:numRef>
              <c:f>m!$DU$86:$DX$86</c:f>
              <c:numCache>
                <c:formatCode>General</c:formatCode>
                <c:ptCount val="4"/>
                <c:pt idx="1">
                  <c:v>3.8469075681895233</c:v>
                </c:pt>
              </c:numCache>
            </c:numRef>
          </c:xVal>
          <c:yVal>
            <c:numRef>
              <c:f>m!$DU$88:$DX$88</c:f>
              <c:numCache>
                <c:formatCode>General</c:formatCode>
                <c:ptCount val="4"/>
                <c:pt idx="1">
                  <c:v>112.5027611445126</c:v>
                </c:pt>
              </c:numCache>
            </c:numRef>
          </c:yVal>
          <c:smooth val="0"/>
          <c:extLst>
            <c:ext xmlns:c16="http://schemas.microsoft.com/office/drawing/2014/chart" uri="{C3380CC4-5D6E-409C-BE32-E72D297353CC}">
              <c16:uniqueId val="{00000004-20D0-4FD3-B02F-8B5CC636D5A9}"/>
            </c:ext>
          </c:extLst>
        </c:ser>
        <c:ser>
          <c:idx val="10"/>
          <c:order val="5"/>
          <c:tx>
            <c:v>Pipe 3 Rough</c:v>
          </c:tx>
          <c:spPr>
            <a:ln w="25400" cap="rnd">
              <a:noFill/>
              <a:round/>
            </a:ln>
            <a:effectLst/>
          </c:spPr>
          <c:marker>
            <c:symbol val="circle"/>
            <c:size val="5"/>
            <c:spPr>
              <a:noFill/>
              <a:ln w="1905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m!$DY$88:$EL$88</c:f>
              <c:numCache>
                <c:formatCode>General</c:formatCode>
                <c:ptCount val="14"/>
                <c:pt idx="0">
                  <c:v>387.12046526060993</c:v>
                </c:pt>
                <c:pt idx="1">
                  <c:v>109.01295409328802</c:v>
                </c:pt>
                <c:pt idx="2">
                  <c:v>80.044164274946709</c:v>
                </c:pt>
                <c:pt idx="3">
                  <c:v>69.315374934098855</c:v>
                </c:pt>
                <c:pt idx="4">
                  <c:v>56.845340825747876</c:v>
                </c:pt>
                <c:pt idx="5">
                  <c:v>52.110362557298266</c:v>
                </c:pt>
                <c:pt idx="6">
                  <c:v>51.347614683737454</c:v>
                </c:pt>
                <c:pt idx="7">
                  <c:v>43.636818151904194</c:v>
                </c:pt>
                <c:pt idx="8">
                  <c:v>29.734510695495572</c:v>
                </c:pt>
                <c:pt idx="10">
                  <c:v>28.325629332891609</c:v>
                </c:pt>
                <c:pt idx="11">
                  <c:v>32.438035866153264</c:v>
                </c:pt>
                <c:pt idx="13">
                  <c:v>25.30851824555894</c:v>
                </c:pt>
              </c:numCache>
            </c:numRef>
          </c:yVal>
          <c:smooth val="0"/>
          <c:extLst>
            <c:ext xmlns:c16="http://schemas.microsoft.com/office/drawing/2014/chart" uri="{C3380CC4-5D6E-409C-BE32-E72D297353CC}">
              <c16:uniqueId val="{00000005-20D0-4FD3-B02F-8B5CC636D5A9}"/>
            </c:ext>
          </c:extLst>
        </c:ser>
        <c:ser>
          <c:idx val="0"/>
          <c:order val="6"/>
          <c:tx>
            <c:v>Box</c:v>
          </c:tx>
          <c:spPr>
            <a:ln w="9525" cap="rnd">
              <a:solidFill>
                <a:schemeClr val="tx1"/>
              </a:solidFill>
              <a:round/>
            </a:ln>
            <a:effectLst/>
          </c:spPr>
          <c:marker>
            <c:symbol val="none"/>
          </c:marker>
          <c:xVal>
            <c:numRef>
              <c:f>Plt_3!$X$99:$X$103</c:f>
              <c:numCache>
                <c:formatCode>General</c:formatCode>
                <c:ptCount val="5"/>
                <c:pt idx="0">
                  <c:v>11</c:v>
                </c:pt>
                <c:pt idx="1">
                  <c:v>18.5</c:v>
                </c:pt>
                <c:pt idx="2">
                  <c:v>18.5</c:v>
                </c:pt>
                <c:pt idx="3">
                  <c:v>11</c:v>
                </c:pt>
                <c:pt idx="4">
                  <c:v>11</c:v>
                </c:pt>
              </c:numCache>
            </c:numRef>
          </c:xVal>
          <c:yVal>
            <c:numRef>
              <c:f>Plt_3!$Y$99:$Y$103</c:f>
              <c:numCache>
                <c:formatCode>General</c:formatCode>
                <c:ptCount val="5"/>
                <c:pt idx="0">
                  <c:v>5</c:v>
                </c:pt>
                <c:pt idx="1">
                  <c:v>5</c:v>
                </c:pt>
                <c:pt idx="2">
                  <c:v>10</c:v>
                </c:pt>
                <c:pt idx="3">
                  <c:v>10</c:v>
                </c:pt>
                <c:pt idx="4">
                  <c:v>5</c:v>
                </c:pt>
              </c:numCache>
            </c:numRef>
          </c:yVal>
          <c:smooth val="0"/>
          <c:extLst>
            <c:ext xmlns:c16="http://schemas.microsoft.com/office/drawing/2014/chart" uri="{C3380CC4-5D6E-409C-BE32-E72D297353CC}">
              <c16:uniqueId val="{00000000-7776-470F-B188-ED09662B2A08}"/>
            </c:ext>
          </c:extLst>
        </c:ser>
        <c:dLbls>
          <c:showLegendKey val="0"/>
          <c:showVal val="0"/>
          <c:showCatName val="0"/>
          <c:showSerName val="0"/>
          <c:showPercent val="0"/>
          <c:showBubbleSize val="0"/>
        </c:dLbls>
        <c:axId val="624399680"/>
        <c:axId val="624400008"/>
        <c:extLst/>
      </c:scatterChart>
      <c:valAx>
        <c:axId val="624399680"/>
        <c:scaling>
          <c:logBase val="10"/>
          <c:orientation val="minMax"/>
          <c:max val="9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s-ES" sz="1400" b="0" i="0" u="none" strike="noStrike" baseline="0">
                    <a:effectLst/>
                  </a:rPr>
                  <a:t>Normalized Span Length, L̃ = L/L</a:t>
                </a:r>
                <a:r>
                  <a:rPr lang="es-ES" sz="1400" b="0" i="0" u="none" strike="noStrike" baseline="-25000">
                    <a:effectLst/>
                  </a:rPr>
                  <a:t>st</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logBase val="10"/>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s-ES" sz="1400" b="0" i="0" u="none" strike="noStrike" baseline="0">
                    <a:effectLst/>
                  </a:rPr>
                  <a:t>Normalized Effective Axial Force, Ñ = NL</a:t>
                </a:r>
                <a:r>
                  <a:rPr lang="es-ES" sz="1400" b="0" i="0" u="none" strike="noStrike" baseline="-25000">
                    <a:effectLst/>
                  </a:rPr>
                  <a:t>st</a:t>
                </a:r>
                <a:r>
                  <a:rPr lang="es-ES" sz="1400" b="0" i="0" u="none" strike="noStrike" baseline="30000">
                    <a:effectLst/>
                  </a:rPr>
                  <a:t>2</a:t>
                </a:r>
                <a:r>
                  <a:rPr lang="en-US" sz="1400" b="0" i="0" u="none" strike="noStrike" baseline="0">
                    <a:effectLst/>
                  </a:rPr>
                  <a:t>/(π</a:t>
                </a:r>
                <a:r>
                  <a:rPr lang="en-US" sz="1400" b="0" i="0" u="none" strike="noStrike" baseline="30000">
                    <a:effectLst/>
                  </a:rPr>
                  <a:t>2</a:t>
                </a:r>
                <a:r>
                  <a:rPr lang="en-US" sz="1400" b="0" i="0" u="none" strike="noStrike" baseline="0">
                    <a:effectLst/>
                  </a:rPr>
                  <a:t> EI)</a:t>
                </a:r>
                <a:endParaRPr lang="en-US" sz="1400">
                  <a:effectLst/>
                </a:endParaRPr>
              </a:p>
            </c:rich>
          </c:tx>
          <c:layout>
            <c:manualLayout>
              <c:xMode val="edge"/>
              <c:yMode val="edge"/>
              <c:x val="7.2221857075878857E-3"/>
              <c:y val="0.14230761753071464"/>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minorUnit val="0.5"/>
      </c:valAx>
      <c:spPr>
        <a:noFill/>
        <a:ln w="12700">
          <a:solidFill>
            <a:srgbClr val="808080"/>
          </a:solidFill>
          <a:prstDash val="solid"/>
        </a:ln>
        <a:effectLst/>
      </c:spPr>
    </c:plotArea>
    <c:legend>
      <c:legendPos val="r"/>
      <c:layout>
        <c:manualLayout>
          <c:xMode val="edge"/>
          <c:yMode val="edge"/>
          <c:x val="0.81918183849723292"/>
          <c:y val="4.2322423372292139E-2"/>
          <c:w val="0.13559291732940729"/>
          <c:h val="0.28563220195766126"/>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79648933699651E-2"/>
          <c:y val="2.4349477682811017E-2"/>
          <c:w val="0.71535288472914171"/>
          <c:h val="0.86113960113960109"/>
        </c:manualLayout>
      </c:layout>
      <c:scatterChart>
        <c:scatterStyle val="lineMarker"/>
        <c:varyColors val="0"/>
        <c:ser>
          <c:idx val="6"/>
          <c:order val="0"/>
          <c:tx>
            <c:v>Ormen Lange</c:v>
          </c:tx>
          <c:spPr>
            <a:ln w="25400" cap="rnd">
              <a:noFill/>
              <a:round/>
            </a:ln>
            <a:effectLst/>
          </c:spPr>
          <c:marker>
            <c:symbol val="circle"/>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numRef>
          </c:xVal>
          <c:yVal>
            <c:numRef>
              <c:f>m!$AF$108:$AO$108</c:f>
              <c:numCache>
                <c:formatCode>General</c:formatCode>
                <c:ptCount val="10"/>
                <c:pt idx="6">
                  <c:v>8.7961764939928064E-2</c:v>
                </c:pt>
                <c:pt idx="7">
                  <c:v>8.5104610660634725E-2</c:v>
                </c:pt>
                <c:pt idx="8">
                  <c:v>7.4427376085370658E-2</c:v>
                </c:pt>
                <c:pt idx="9">
                  <c:v>3.9378729208722991E-2</c:v>
                </c:pt>
              </c:numCache>
            </c:numRef>
          </c:yVal>
          <c:smooth val="0"/>
          <c:extLst>
            <c:ext xmlns:c16="http://schemas.microsoft.com/office/drawing/2014/chart" uri="{C3380CC4-5D6E-409C-BE32-E72D297353CC}">
              <c16:uniqueId val="{00000000-D274-4F69-A44E-008C23C5EF2D}"/>
            </c:ext>
          </c:extLst>
        </c:ser>
        <c:ser>
          <c:idx val="7"/>
          <c:order val="1"/>
          <c:tx>
            <c:v>ExxonMobil</c:v>
          </c:tx>
          <c:spPr>
            <a:ln w="25400" cap="rnd">
              <a:noFill/>
              <a:round/>
            </a:ln>
            <a:effectLst/>
          </c:spPr>
          <c:marker>
            <c:symbol val="circle"/>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f>m!$AP$108:$BL$108</c:f>
              <c:numCache>
                <c:formatCode>General</c:formatCode>
                <c:ptCount val="23"/>
                <c:pt idx="0">
                  <c:v>1.4392232051287623E-2</c:v>
                </c:pt>
                <c:pt idx="1">
                  <c:v>2.4172187650910226E-2</c:v>
                </c:pt>
                <c:pt idx="2">
                  <c:v>9.2210546927829679E-2</c:v>
                </c:pt>
                <c:pt idx="3">
                  <c:v>6.4001701116943643E-2</c:v>
                </c:pt>
                <c:pt idx="4">
                  <c:v>8.2784316886471948E-2</c:v>
                </c:pt>
                <c:pt idx="6">
                  <c:v>8.4808240598231471E-2</c:v>
                </c:pt>
                <c:pt idx="12">
                  <c:v>7.3798334780909872E-2</c:v>
                </c:pt>
                <c:pt idx="19">
                  <c:v>1.5940907564513371E-2</c:v>
                </c:pt>
                <c:pt idx="20">
                  <c:v>3.5270871566977578E-2</c:v>
                </c:pt>
                <c:pt idx="21">
                  <c:v>2.8509755247130571E-2</c:v>
                </c:pt>
              </c:numCache>
            </c:numRef>
          </c:yVal>
          <c:smooth val="0"/>
          <c:extLst>
            <c:ext xmlns:c16="http://schemas.microsoft.com/office/drawing/2014/chart" uri="{C3380CC4-5D6E-409C-BE32-E72D297353CC}">
              <c16:uniqueId val="{00000001-D274-4F69-A44E-008C23C5EF2D}"/>
            </c:ext>
          </c:extLst>
        </c:ser>
        <c:ser>
          <c:idx val="12"/>
          <c:order val="2"/>
          <c:tx>
            <c:v>Pipe 1</c:v>
          </c:tx>
          <c:spPr>
            <a:ln w="25400" cap="rnd">
              <a:noFill/>
              <a:round/>
            </a:ln>
            <a:effectLst/>
          </c:spPr>
          <c:marker>
            <c:symbol val="circle"/>
            <c:size val="8"/>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numRef>
          </c:xVal>
          <c:yVal>
            <c:numRef>
              <c:f>m!$BM$108:$CO$108</c:f>
              <c:numCache>
                <c:formatCode>General</c:formatCode>
                <c:ptCount val="29"/>
                <c:pt idx="0">
                  <c:v>4.6853564507019947E-2</c:v>
                </c:pt>
                <c:pt idx="1">
                  <c:v>6.8110864550080599E-2</c:v>
                </c:pt>
                <c:pt idx="3">
                  <c:v>2.1488405051508393E-2</c:v>
                </c:pt>
                <c:pt idx="4">
                  <c:v>3.1048324645168823E-2</c:v>
                </c:pt>
                <c:pt idx="5">
                  <c:v>3.8555378419901649E-2</c:v>
                </c:pt>
                <c:pt idx="6">
                  <c:v>5.3872203639017194E-2</c:v>
                </c:pt>
                <c:pt idx="7">
                  <c:v>6.6044804160853898E-2</c:v>
                </c:pt>
                <c:pt idx="8">
                  <c:v>6.8237712990611404E-2</c:v>
                </c:pt>
                <c:pt idx="9">
                  <c:v>6.6551964228173111E-2</c:v>
                </c:pt>
                <c:pt idx="10">
                  <c:v>6.7762351100982429E-2</c:v>
                </c:pt>
                <c:pt idx="11">
                  <c:v>7.8986671191811186E-2</c:v>
                </c:pt>
                <c:pt idx="12">
                  <c:v>8.4386209320913563E-2</c:v>
                </c:pt>
                <c:pt idx="13">
                  <c:v>3.7819627836849154E-2</c:v>
                </c:pt>
                <c:pt idx="14">
                  <c:v>6.1377704783325264E-2</c:v>
                </c:pt>
                <c:pt idx="15">
                  <c:v>5.7940318497491594E-2</c:v>
                </c:pt>
                <c:pt idx="16">
                  <c:v>8.4038381126712469E-2</c:v>
                </c:pt>
                <c:pt idx="17">
                  <c:v>8.7501666903431669E-2</c:v>
                </c:pt>
                <c:pt idx="18">
                  <c:v>7.9839734111066402E-2</c:v>
                </c:pt>
                <c:pt idx="19">
                  <c:v>8.0748563737711304E-2</c:v>
                </c:pt>
              </c:numCache>
            </c:numRef>
          </c:yVal>
          <c:smooth val="0"/>
          <c:extLst>
            <c:ext xmlns:c16="http://schemas.microsoft.com/office/drawing/2014/chart" uri="{C3380CC4-5D6E-409C-BE32-E72D297353CC}">
              <c16:uniqueId val="{00000002-D274-4F69-A44E-008C23C5EF2D}"/>
            </c:ext>
          </c:extLst>
        </c:ser>
        <c:ser>
          <c:idx val="14"/>
          <c:order val="3"/>
          <c:tx>
            <c:v>Pipe 2</c:v>
          </c:tx>
          <c:spPr>
            <a:ln w="25400" cap="rnd">
              <a:noFill/>
              <a:round/>
            </a:ln>
            <a:effectLst/>
          </c:spPr>
          <c:marker>
            <c:symbol val="circle"/>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numRef>
          </c:xVal>
          <c:yVal>
            <c:numRef>
              <c:f>m!$CP$108:$DT$108</c:f>
              <c:numCache>
                <c:formatCode>General</c:formatCode>
                <c:ptCount val="31"/>
                <c:pt idx="0">
                  <c:v>4.3297773300129433E-2</c:v>
                </c:pt>
                <c:pt idx="1">
                  <c:v>6.6130935534151197E-2</c:v>
                </c:pt>
                <c:pt idx="2">
                  <c:v>5.516615427845397E-2</c:v>
                </c:pt>
                <c:pt idx="3">
                  <c:v>5.5292401122578612E-2</c:v>
                </c:pt>
                <c:pt idx="4">
                  <c:v>7.7044127909613444E-2</c:v>
                </c:pt>
                <c:pt idx="5">
                  <c:v>5.2035834128258053E-2</c:v>
                </c:pt>
                <c:pt idx="6">
                  <c:v>8.2027492863262649E-2</c:v>
                </c:pt>
                <c:pt idx="7">
                  <c:v>4.1431568350316243E-2</c:v>
                </c:pt>
                <c:pt idx="8">
                  <c:v>4.7670011131603483E-2</c:v>
                </c:pt>
                <c:pt idx="9">
                  <c:v>4.8053553703230112E-2</c:v>
                </c:pt>
                <c:pt idx="10">
                  <c:v>5.2725101805122271E-2</c:v>
                </c:pt>
                <c:pt idx="11">
                  <c:v>4.5040894194394769E-2</c:v>
                </c:pt>
                <c:pt idx="12">
                  <c:v>5.7225214625532983E-2</c:v>
                </c:pt>
                <c:pt idx="14">
                  <c:v>7.0584990533444941E-2</c:v>
                </c:pt>
                <c:pt idx="15">
                  <c:v>3.6970116012211722E-2</c:v>
                </c:pt>
                <c:pt idx="18">
                  <c:v>5.7970734248348962E-2</c:v>
                </c:pt>
                <c:pt idx="19">
                  <c:v>6.0315122890437042E-2</c:v>
                </c:pt>
                <c:pt idx="20">
                  <c:v>6.677730487031408E-2</c:v>
                </c:pt>
                <c:pt idx="21">
                  <c:v>6.2178225286365837E-2</c:v>
                </c:pt>
                <c:pt idx="22">
                  <c:v>8.100283574510396E-2</c:v>
                </c:pt>
                <c:pt idx="23">
                  <c:v>2.0904421034430822E-2</c:v>
                </c:pt>
                <c:pt idx="24">
                  <c:v>3.3069259318991823E-2</c:v>
                </c:pt>
                <c:pt idx="25">
                  <c:v>3.1914094541075633E-2</c:v>
                </c:pt>
                <c:pt idx="26">
                  <c:v>2.8637400407671883E-2</c:v>
                </c:pt>
                <c:pt idx="27">
                  <c:v>3.8282692468812898E-2</c:v>
                </c:pt>
                <c:pt idx="28">
                  <c:v>9.7766217058401869E-2</c:v>
                </c:pt>
                <c:pt idx="29">
                  <c:v>9.426627203685034E-2</c:v>
                </c:pt>
              </c:numCache>
            </c:numRef>
          </c:yVal>
          <c:smooth val="0"/>
          <c:extLst>
            <c:ext xmlns:c16="http://schemas.microsoft.com/office/drawing/2014/chart" uri="{C3380CC4-5D6E-409C-BE32-E72D297353CC}">
              <c16:uniqueId val="{00000003-D274-4F69-A44E-008C23C5EF2D}"/>
            </c:ext>
          </c:extLst>
        </c:ser>
        <c:ser>
          <c:idx val="8"/>
          <c:order val="4"/>
          <c:tx>
            <c:v>Pipe 3 Smooth</c:v>
          </c:tx>
          <c:spPr>
            <a:ln w="25400" cap="rnd">
              <a:noFill/>
              <a:round/>
            </a:ln>
            <a:effectLst/>
          </c:spPr>
          <c:marker>
            <c:symbol val="circle"/>
            <c:size val="7"/>
            <c:spPr>
              <a:noFill/>
              <a:ln w="15875">
                <a:solidFill>
                  <a:schemeClr val="accent2"/>
                </a:solidFill>
              </a:ln>
              <a:effectLst/>
            </c:spPr>
          </c:marker>
          <c:xVal>
            <c:numRef>
              <c:f>m!$DU$86:$DX$86</c:f>
              <c:numCache>
                <c:formatCode>General</c:formatCode>
                <c:ptCount val="4"/>
                <c:pt idx="1">
                  <c:v>3.8469075681895233</c:v>
                </c:pt>
              </c:numCache>
            </c:numRef>
          </c:xVal>
          <c:yVal>
            <c:numRef>
              <c:f>m!$DU$108:$DX$108</c:f>
              <c:numCache>
                <c:formatCode>General</c:formatCode>
                <c:ptCount val="4"/>
                <c:pt idx="1">
                  <c:v>3.4701885708545627E-2</c:v>
                </c:pt>
              </c:numCache>
            </c:numRef>
          </c:yVal>
          <c:smooth val="0"/>
          <c:extLst>
            <c:ext xmlns:c16="http://schemas.microsoft.com/office/drawing/2014/chart" uri="{C3380CC4-5D6E-409C-BE32-E72D297353CC}">
              <c16:uniqueId val="{00000004-D274-4F69-A44E-008C23C5EF2D}"/>
            </c:ext>
          </c:extLst>
        </c:ser>
        <c:ser>
          <c:idx val="10"/>
          <c:order val="5"/>
          <c:tx>
            <c:v>Pipe 3 Rough</c:v>
          </c:tx>
          <c:spPr>
            <a:ln w="25400" cap="rnd">
              <a:noFill/>
              <a:round/>
            </a:ln>
            <a:effectLst/>
          </c:spPr>
          <c:marker>
            <c:symbol val="circle"/>
            <c:size val="5"/>
            <c:spPr>
              <a:noFill/>
              <a:ln w="1905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m!$DY$108:$EL$108</c:f>
              <c:numCache>
                <c:formatCode>General</c:formatCode>
                <c:ptCount val="14"/>
                <c:pt idx="0">
                  <c:v>7.3611442375323809E-3</c:v>
                </c:pt>
                <c:pt idx="1">
                  <c:v>2.6091740046309493E-2</c:v>
                </c:pt>
                <c:pt idx="2">
                  <c:v>3.778811234889904E-2</c:v>
                </c:pt>
                <c:pt idx="3">
                  <c:v>5.4753313669653358E-2</c:v>
                </c:pt>
                <c:pt idx="4">
                  <c:v>8.5520650363639317E-2</c:v>
                </c:pt>
                <c:pt idx="5">
                  <c:v>7.6785584231706686E-2</c:v>
                </c:pt>
                <c:pt idx="6">
                  <c:v>8.2128328687384108E-2</c:v>
                </c:pt>
                <c:pt idx="7">
                  <c:v>6.8312466799255123E-2</c:v>
                </c:pt>
                <c:pt idx="8">
                  <c:v>8.6732767769770749E-2</c:v>
                </c:pt>
                <c:pt idx="10">
                  <c:v>5.9843868532745814E-2</c:v>
                </c:pt>
                <c:pt idx="11">
                  <c:v>7.8612789245365633E-2</c:v>
                </c:pt>
                <c:pt idx="13">
                  <c:v>9.6173840146222433E-2</c:v>
                </c:pt>
              </c:numCache>
            </c:numRef>
          </c:yVal>
          <c:smooth val="0"/>
          <c:extLst>
            <c:ext xmlns:c16="http://schemas.microsoft.com/office/drawing/2014/chart" uri="{C3380CC4-5D6E-409C-BE32-E72D297353CC}">
              <c16:uniqueId val="{00000005-D274-4F69-A44E-008C23C5EF2D}"/>
            </c:ext>
          </c:extLst>
        </c:ser>
        <c:dLbls>
          <c:showLegendKey val="0"/>
          <c:showVal val="0"/>
          <c:showCatName val="0"/>
          <c:showSerName val="0"/>
          <c:showPercent val="0"/>
          <c:showBubbleSize val="0"/>
        </c:dLbls>
        <c:axId val="624399680"/>
        <c:axId val="624400008"/>
        <c:extLst/>
      </c:scatterChart>
      <c:valAx>
        <c:axId val="624399680"/>
        <c:scaling>
          <c:logBase val="10"/>
          <c:orientation val="minMax"/>
          <c:max val="9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s-ES" sz="1400" b="0" i="0" u="none" strike="noStrike" baseline="0">
                    <a:effectLst/>
                  </a:rPr>
                  <a:t>Normalized Span Length, L̃ = L/L</a:t>
                </a:r>
                <a:r>
                  <a:rPr lang="es-ES" sz="1400" b="0" i="0" u="none" strike="noStrike" baseline="-25000">
                    <a:effectLst/>
                  </a:rPr>
                  <a:t>st</a:t>
                </a:r>
                <a:endParaRPr lang="en-US" sz="1800">
                  <a:effectLst/>
                </a:endParaRPr>
              </a:p>
            </c:rich>
          </c:tx>
          <c:layout>
            <c:manualLayout>
              <c:xMode val="edge"/>
              <c:yMode val="edge"/>
              <c:x val="0.29272479504335747"/>
              <c:y val="0.95118708452041789"/>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At val="1.0000000000000002E-3"/>
        <c:crossBetween val="midCat"/>
      </c:valAx>
      <c:valAx>
        <c:axId val="624400008"/>
        <c:scaling>
          <c:logBase val="10"/>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Dynamic Axial Force Ratio,  ψ</a:t>
                </a:r>
                <a:r>
                  <a:rPr lang="en-US" sz="1400" b="0" i="0" u="none" strike="noStrike" baseline="-25000">
                    <a:effectLst/>
                  </a:rPr>
                  <a:t>N</a:t>
                </a:r>
                <a:r>
                  <a:rPr lang="en-US" sz="1400" b="0" i="0" u="none" strike="noStrike" baseline="0">
                    <a:effectLst/>
                  </a:rPr>
                  <a:t> = da(N)/N</a:t>
                </a:r>
                <a:r>
                  <a:rPr lang="en-US" sz="1400" b="0" i="0" u="none" strike="noStrike" baseline="-25000">
                    <a:effectLst/>
                  </a:rPr>
                  <a:t>seq</a:t>
                </a:r>
                <a:r>
                  <a:rPr lang="en-US" sz="1400" b="0" i="0" u="none" strike="noStrike" baseline="0">
                    <a:effectLst/>
                  </a:rPr>
                  <a:t> </a:t>
                </a:r>
                <a:endParaRPr lang="en-US" sz="1400">
                  <a:effectLst/>
                </a:endParaRPr>
              </a:p>
            </c:rich>
          </c:tx>
          <c:layout>
            <c:manualLayout>
              <c:xMode val="edge"/>
              <c:yMode val="edge"/>
              <c:x val="3.8832875439818765E-3"/>
              <c:y val="0.14230761753071464"/>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minorUnit val="0.5"/>
      </c:valAx>
      <c:spPr>
        <a:noFill/>
        <a:ln w="12700">
          <a:solidFill>
            <a:srgbClr val="808080"/>
          </a:solidFill>
          <a:prstDash val="solid"/>
        </a:ln>
        <a:effectLst/>
      </c:spPr>
    </c:plotArea>
    <c:legend>
      <c:legendPos val="r"/>
      <c:layout>
        <c:manualLayout>
          <c:xMode val="edge"/>
          <c:yMode val="edge"/>
          <c:x val="0.83921522747886901"/>
          <c:y val="3.8523752906955006E-2"/>
          <c:w val="0.13559291732940729"/>
          <c:h val="0.28563220195766126"/>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6"/>
          <c:order val="0"/>
          <c:tx>
            <c:v>Ormen Lange</c:v>
          </c:tx>
          <c:spPr>
            <a:ln w="25400" cap="rnd">
              <a:noFill/>
              <a:round/>
            </a:ln>
            <a:effectLst/>
          </c:spPr>
          <c:marker>
            <c:symbol val="circle"/>
            <c:size val="7"/>
            <c:spPr>
              <a:noFill/>
              <a:ln w="15875">
                <a:solidFill>
                  <a:schemeClr val="tx1"/>
                </a:solidFill>
              </a:ln>
              <a:effectLst/>
            </c:spPr>
          </c:marker>
          <c:xVal>
            <c:numRef>
              <c:f>m!$AF$88:$AO$88</c:f>
              <c:numCache>
                <c:formatCode>General</c:formatCode>
                <c:ptCount val="10"/>
                <c:pt idx="6">
                  <c:v>1.2077756213486157</c:v>
                </c:pt>
                <c:pt idx="7">
                  <c:v>1.1056289978340066</c:v>
                </c:pt>
                <c:pt idx="8">
                  <c:v>1.0251873368791706</c:v>
                </c:pt>
                <c:pt idx="9">
                  <c:v>0.95931262586627597</c:v>
                </c:pt>
              </c:numCache>
            </c:numRef>
          </c:xVal>
          <c:yVal>
            <c:numRef>
              <c:f>m!$AF$108:$AO$108</c:f>
              <c:numCache>
                <c:formatCode>General</c:formatCode>
                <c:ptCount val="10"/>
                <c:pt idx="6">
                  <c:v>8.7961764939928064E-2</c:v>
                </c:pt>
                <c:pt idx="7">
                  <c:v>8.5104610660634725E-2</c:v>
                </c:pt>
                <c:pt idx="8">
                  <c:v>7.4427376085370658E-2</c:v>
                </c:pt>
                <c:pt idx="9">
                  <c:v>3.9378729208722991E-2</c:v>
                </c:pt>
              </c:numCache>
            </c:numRef>
          </c:yVal>
          <c:smooth val="0"/>
          <c:extLst>
            <c:ext xmlns:c16="http://schemas.microsoft.com/office/drawing/2014/chart" uri="{C3380CC4-5D6E-409C-BE32-E72D297353CC}">
              <c16:uniqueId val="{00000000-E86B-42F6-8003-29A5B72F753B}"/>
            </c:ext>
          </c:extLst>
        </c:ser>
        <c:ser>
          <c:idx val="7"/>
          <c:order val="1"/>
          <c:tx>
            <c:v>ExxonMobil</c:v>
          </c:tx>
          <c:spPr>
            <a:ln w="25400" cap="rnd">
              <a:noFill/>
              <a:round/>
            </a:ln>
            <a:effectLst/>
          </c:spPr>
          <c:marker>
            <c:symbol val="circle"/>
            <c:size val="7"/>
            <c:spPr>
              <a:noFill/>
              <a:ln w="15875">
                <a:solidFill>
                  <a:schemeClr val="accent3"/>
                </a:solidFill>
              </a:ln>
              <a:effectLst/>
            </c:spPr>
          </c:marker>
          <c:xVal>
            <c:numRef>
              <c:f>m!$AP$88:$BL$88</c:f>
              <c:numCache>
                <c:formatCode>General</c:formatCode>
                <c:ptCount val="23"/>
                <c:pt idx="0">
                  <c:v>24.391892556467965</c:v>
                </c:pt>
                <c:pt idx="1">
                  <c:v>12.39314191041627</c:v>
                </c:pt>
                <c:pt idx="2">
                  <c:v>6.0526881112960602</c:v>
                </c:pt>
                <c:pt idx="3">
                  <c:v>3.7666895969175127</c:v>
                </c:pt>
                <c:pt idx="4">
                  <c:v>2.6785350127838461</c:v>
                </c:pt>
                <c:pt idx="6">
                  <c:v>1.8850320220016954</c:v>
                </c:pt>
                <c:pt idx="12">
                  <c:v>1.1515535876000997</c:v>
                </c:pt>
                <c:pt idx="19">
                  <c:v>16.152806707052129</c:v>
                </c:pt>
                <c:pt idx="20">
                  <c:v>8.0284894017907167</c:v>
                </c:pt>
                <c:pt idx="21">
                  <c:v>11.824562591088151</c:v>
                </c:pt>
              </c:numCache>
            </c:numRef>
          </c:xVal>
          <c:yVal>
            <c:numRef>
              <c:f>m!$AP$108:$BL$108</c:f>
              <c:numCache>
                <c:formatCode>General</c:formatCode>
                <c:ptCount val="23"/>
                <c:pt idx="0">
                  <c:v>1.4392232051287623E-2</c:v>
                </c:pt>
                <c:pt idx="1">
                  <c:v>2.4172187650910226E-2</c:v>
                </c:pt>
                <c:pt idx="2">
                  <c:v>9.2210546927829679E-2</c:v>
                </c:pt>
                <c:pt idx="3">
                  <c:v>6.4001701116943643E-2</c:v>
                </c:pt>
                <c:pt idx="4">
                  <c:v>8.2784316886471948E-2</c:v>
                </c:pt>
                <c:pt idx="6">
                  <c:v>8.4808240598231471E-2</c:v>
                </c:pt>
                <c:pt idx="12">
                  <c:v>7.3798334780909872E-2</c:v>
                </c:pt>
                <c:pt idx="19">
                  <c:v>1.5940907564513371E-2</c:v>
                </c:pt>
                <c:pt idx="20">
                  <c:v>3.5270871566977578E-2</c:v>
                </c:pt>
                <c:pt idx="21">
                  <c:v>2.8509755247130571E-2</c:v>
                </c:pt>
              </c:numCache>
            </c:numRef>
          </c:yVal>
          <c:smooth val="0"/>
          <c:extLst>
            <c:ext xmlns:c16="http://schemas.microsoft.com/office/drawing/2014/chart" uri="{C3380CC4-5D6E-409C-BE32-E72D297353CC}">
              <c16:uniqueId val="{00000001-E86B-42F6-8003-29A5B72F753B}"/>
            </c:ext>
          </c:extLst>
        </c:ser>
        <c:ser>
          <c:idx val="12"/>
          <c:order val="2"/>
          <c:tx>
            <c:v>Pipe 1</c:v>
          </c:tx>
          <c:spPr>
            <a:ln w="25400" cap="rnd">
              <a:noFill/>
              <a:round/>
            </a:ln>
            <a:effectLst/>
          </c:spPr>
          <c:marker>
            <c:symbol val="circle"/>
            <c:size val="8"/>
            <c:spPr>
              <a:noFill/>
              <a:ln w="15875">
                <a:solidFill>
                  <a:schemeClr val="accent6"/>
                </a:solidFill>
              </a:ln>
              <a:effectLst/>
            </c:spPr>
          </c:marker>
          <c:xVal>
            <c:numRef>
              <c:f>m!$BM$88:$CO$88</c:f>
              <c:numCache>
                <c:formatCode>General</c:formatCode>
                <c:ptCount val="29"/>
                <c:pt idx="0">
                  <c:v>9.058449261180316</c:v>
                </c:pt>
                <c:pt idx="1">
                  <c:v>7.8664433508505711</c:v>
                </c:pt>
                <c:pt idx="3">
                  <c:v>30.065626016914369</c:v>
                </c:pt>
                <c:pt idx="4">
                  <c:v>22.639463651886633</c:v>
                </c:pt>
                <c:pt idx="5">
                  <c:v>16.656638164149282</c:v>
                </c:pt>
                <c:pt idx="6">
                  <c:v>15.021212136386572</c:v>
                </c:pt>
                <c:pt idx="7">
                  <c:v>13.951169656448213</c:v>
                </c:pt>
                <c:pt idx="8">
                  <c:v>13.01388949792244</c:v>
                </c:pt>
                <c:pt idx="9">
                  <c:v>11.766366373383427</c:v>
                </c:pt>
                <c:pt idx="10">
                  <c:v>11.269336129968526</c:v>
                </c:pt>
                <c:pt idx="11">
                  <c:v>11.170898139527413</c:v>
                </c:pt>
                <c:pt idx="12">
                  <c:v>11.960799378255555</c:v>
                </c:pt>
                <c:pt idx="13">
                  <c:v>27.162889586886486</c:v>
                </c:pt>
                <c:pt idx="14">
                  <c:v>12.912503702619032</c:v>
                </c:pt>
                <c:pt idx="15">
                  <c:v>12.021652336608035</c:v>
                </c:pt>
                <c:pt idx="16">
                  <c:v>11.232099961635724</c:v>
                </c:pt>
                <c:pt idx="17">
                  <c:v>11.693849947411628</c:v>
                </c:pt>
                <c:pt idx="18">
                  <c:v>11.223698400411086</c:v>
                </c:pt>
                <c:pt idx="19">
                  <c:v>10.86580831318318</c:v>
                </c:pt>
              </c:numCache>
            </c:numRef>
          </c:xVal>
          <c:yVal>
            <c:numRef>
              <c:f>m!$BM$108:$CO$108</c:f>
              <c:numCache>
                <c:formatCode>General</c:formatCode>
                <c:ptCount val="29"/>
                <c:pt idx="0">
                  <c:v>4.6853564507019947E-2</c:v>
                </c:pt>
                <c:pt idx="1">
                  <c:v>6.8110864550080599E-2</c:v>
                </c:pt>
                <c:pt idx="3">
                  <c:v>2.1488405051508393E-2</c:v>
                </c:pt>
                <c:pt idx="4">
                  <c:v>3.1048324645168823E-2</c:v>
                </c:pt>
                <c:pt idx="5">
                  <c:v>3.8555378419901649E-2</c:v>
                </c:pt>
                <c:pt idx="6">
                  <c:v>5.3872203639017194E-2</c:v>
                </c:pt>
                <c:pt idx="7">
                  <c:v>6.6044804160853898E-2</c:v>
                </c:pt>
                <c:pt idx="8">
                  <c:v>6.8237712990611404E-2</c:v>
                </c:pt>
                <c:pt idx="9">
                  <c:v>6.6551964228173111E-2</c:v>
                </c:pt>
                <c:pt idx="10">
                  <c:v>6.7762351100982429E-2</c:v>
                </c:pt>
                <c:pt idx="11">
                  <c:v>7.8986671191811186E-2</c:v>
                </c:pt>
                <c:pt idx="12">
                  <c:v>8.4386209320913563E-2</c:v>
                </c:pt>
                <c:pt idx="13">
                  <c:v>3.7819627836849154E-2</c:v>
                </c:pt>
                <c:pt idx="14">
                  <c:v>6.1377704783325264E-2</c:v>
                </c:pt>
                <c:pt idx="15">
                  <c:v>5.7940318497491594E-2</c:v>
                </c:pt>
                <c:pt idx="16">
                  <c:v>8.4038381126712469E-2</c:v>
                </c:pt>
                <c:pt idx="17">
                  <c:v>8.7501666903431669E-2</c:v>
                </c:pt>
                <c:pt idx="18">
                  <c:v>7.9839734111066402E-2</c:v>
                </c:pt>
                <c:pt idx="19">
                  <c:v>8.0748563737711304E-2</c:v>
                </c:pt>
              </c:numCache>
            </c:numRef>
          </c:yVal>
          <c:smooth val="0"/>
          <c:extLst>
            <c:ext xmlns:c16="http://schemas.microsoft.com/office/drawing/2014/chart" uri="{C3380CC4-5D6E-409C-BE32-E72D297353CC}">
              <c16:uniqueId val="{00000002-E86B-42F6-8003-29A5B72F753B}"/>
            </c:ext>
          </c:extLst>
        </c:ser>
        <c:ser>
          <c:idx val="14"/>
          <c:order val="3"/>
          <c:tx>
            <c:v>Pipe 2</c:v>
          </c:tx>
          <c:spPr>
            <a:ln w="25400" cap="rnd">
              <a:noFill/>
              <a:round/>
            </a:ln>
            <a:effectLst/>
          </c:spPr>
          <c:marker>
            <c:symbol val="circle"/>
            <c:size val="7"/>
            <c:spPr>
              <a:noFill/>
              <a:ln w="15875">
                <a:solidFill>
                  <a:srgbClr val="00B0F0"/>
                </a:solidFill>
              </a:ln>
              <a:effectLst/>
            </c:spPr>
          </c:marker>
          <c:xVal>
            <c:numRef>
              <c:f>m!$CP$88:$DT$88</c:f>
              <c:numCache>
                <c:formatCode>General</c:formatCode>
                <c:ptCount val="31"/>
                <c:pt idx="0">
                  <c:v>14.967634874281726</c:v>
                </c:pt>
                <c:pt idx="1">
                  <c:v>10.859495391314089</c:v>
                </c:pt>
                <c:pt idx="2">
                  <c:v>8.4563881945228196</c:v>
                </c:pt>
                <c:pt idx="3">
                  <c:v>8.0451490313237208</c:v>
                </c:pt>
                <c:pt idx="4">
                  <c:v>7.3666796900735303</c:v>
                </c:pt>
                <c:pt idx="5">
                  <c:v>6.5196411657785642</c:v>
                </c:pt>
                <c:pt idx="6">
                  <c:v>6.3301131825501749</c:v>
                </c:pt>
                <c:pt idx="7">
                  <c:v>6.8827228840656973</c:v>
                </c:pt>
                <c:pt idx="8">
                  <c:v>7.0094627058965058</c:v>
                </c:pt>
                <c:pt idx="9">
                  <c:v>6.3298791757150115</c:v>
                </c:pt>
                <c:pt idx="10">
                  <c:v>6.6780438219414266</c:v>
                </c:pt>
                <c:pt idx="11">
                  <c:v>6.5385293353880218</c:v>
                </c:pt>
                <c:pt idx="12">
                  <c:v>6.9941799281985251</c:v>
                </c:pt>
                <c:pt idx="14">
                  <c:v>6.8232928038368632</c:v>
                </c:pt>
                <c:pt idx="15">
                  <c:v>18.904292224553938</c:v>
                </c:pt>
                <c:pt idx="18">
                  <c:v>4.9032420224881452</c:v>
                </c:pt>
                <c:pt idx="19">
                  <c:v>5.154905288650987</c:v>
                </c:pt>
                <c:pt idx="20">
                  <c:v>5.408353073811563</c:v>
                </c:pt>
                <c:pt idx="21">
                  <c:v>5.6648585615667919</c:v>
                </c:pt>
                <c:pt idx="22">
                  <c:v>6.0623627952754546</c:v>
                </c:pt>
                <c:pt idx="23">
                  <c:v>57.260760259312697</c:v>
                </c:pt>
                <c:pt idx="24">
                  <c:v>26.427104906202789</c:v>
                </c:pt>
                <c:pt idx="25">
                  <c:v>40.004296051188781</c:v>
                </c:pt>
                <c:pt idx="26">
                  <c:v>19.130558061300469</c:v>
                </c:pt>
                <c:pt idx="27">
                  <c:v>29.934930652950253</c:v>
                </c:pt>
                <c:pt idx="28">
                  <c:v>2.6231064436735849</c:v>
                </c:pt>
                <c:pt idx="29">
                  <c:v>3.0770338188674491</c:v>
                </c:pt>
              </c:numCache>
            </c:numRef>
          </c:xVal>
          <c:yVal>
            <c:numRef>
              <c:f>m!$CP$108:$DT$108</c:f>
              <c:numCache>
                <c:formatCode>General</c:formatCode>
                <c:ptCount val="31"/>
                <c:pt idx="0">
                  <c:v>4.3297773300129433E-2</c:v>
                </c:pt>
                <c:pt idx="1">
                  <c:v>6.6130935534151197E-2</c:v>
                </c:pt>
                <c:pt idx="2">
                  <c:v>5.516615427845397E-2</c:v>
                </c:pt>
                <c:pt idx="3">
                  <c:v>5.5292401122578612E-2</c:v>
                </c:pt>
                <c:pt idx="4">
                  <c:v>7.7044127909613444E-2</c:v>
                </c:pt>
                <c:pt idx="5">
                  <c:v>5.2035834128258053E-2</c:v>
                </c:pt>
                <c:pt idx="6">
                  <c:v>8.2027492863262649E-2</c:v>
                </c:pt>
                <c:pt idx="7">
                  <c:v>4.1431568350316243E-2</c:v>
                </c:pt>
                <c:pt idx="8">
                  <c:v>4.7670011131603483E-2</c:v>
                </c:pt>
                <c:pt idx="9">
                  <c:v>4.8053553703230112E-2</c:v>
                </c:pt>
                <c:pt idx="10">
                  <c:v>5.2725101805122271E-2</c:v>
                </c:pt>
                <c:pt idx="11">
                  <c:v>4.5040894194394769E-2</c:v>
                </c:pt>
                <c:pt idx="12">
                  <c:v>5.7225214625532983E-2</c:v>
                </c:pt>
                <c:pt idx="14">
                  <c:v>7.0584990533444941E-2</c:v>
                </c:pt>
                <c:pt idx="15">
                  <c:v>3.6970116012211722E-2</c:v>
                </c:pt>
                <c:pt idx="18">
                  <c:v>5.7970734248348962E-2</c:v>
                </c:pt>
                <c:pt idx="19">
                  <c:v>6.0315122890437042E-2</c:v>
                </c:pt>
                <c:pt idx="20">
                  <c:v>6.677730487031408E-2</c:v>
                </c:pt>
                <c:pt idx="21">
                  <c:v>6.2178225286365837E-2</c:v>
                </c:pt>
                <c:pt idx="22">
                  <c:v>8.100283574510396E-2</c:v>
                </c:pt>
                <c:pt idx="23">
                  <c:v>2.0904421034430822E-2</c:v>
                </c:pt>
                <c:pt idx="24">
                  <c:v>3.3069259318991823E-2</c:v>
                </c:pt>
                <c:pt idx="25">
                  <c:v>3.1914094541075633E-2</c:v>
                </c:pt>
                <c:pt idx="26">
                  <c:v>2.8637400407671883E-2</c:v>
                </c:pt>
                <c:pt idx="27">
                  <c:v>3.8282692468812898E-2</c:v>
                </c:pt>
                <c:pt idx="28">
                  <c:v>9.7766217058401869E-2</c:v>
                </c:pt>
                <c:pt idx="29">
                  <c:v>9.426627203685034E-2</c:v>
                </c:pt>
              </c:numCache>
            </c:numRef>
          </c:yVal>
          <c:smooth val="0"/>
          <c:extLst>
            <c:ext xmlns:c16="http://schemas.microsoft.com/office/drawing/2014/chart" uri="{C3380CC4-5D6E-409C-BE32-E72D297353CC}">
              <c16:uniqueId val="{00000003-E86B-42F6-8003-29A5B72F753B}"/>
            </c:ext>
          </c:extLst>
        </c:ser>
        <c:ser>
          <c:idx val="8"/>
          <c:order val="4"/>
          <c:tx>
            <c:v>Pipe 3 Smooth</c:v>
          </c:tx>
          <c:spPr>
            <a:ln w="25400" cap="rnd">
              <a:noFill/>
              <a:round/>
            </a:ln>
            <a:effectLst/>
          </c:spPr>
          <c:marker>
            <c:symbol val="circle"/>
            <c:size val="7"/>
            <c:spPr>
              <a:noFill/>
              <a:ln w="15875">
                <a:solidFill>
                  <a:schemeClr val="accent2"/>
                </a:solidFill>
              </a:ln>
              <a:effectLst/>
            </c:spPr>
          </c:marker>
          <c:xVal>
            <c:numRef>
              <c:f>m!$DU$86:$DX$86</c:f>
              <c:numCache>
                <c:formatCode>General</c:formatCode>
                <c:ptCount val="4"/>
                <c:pt idx="1">
                  <c:v>3.8469075681895233</c:v>
                </c:pt>
              </c:numCache>
            </c:numRef>
          </c:xVal>
          <c:yVal>
            <c:numRef>
              <c:f>m!$DU$108:$DX$108</c:f>
              <c:numCache>
                <c:formatCode>General</c:formatCode>
                <c:ptCount val="4"/>
                <c:pt idx="1">
                  <c:v>3.4701885708545627E-2</c:v>
                </c:pt>
              </c:numCache>
            </c:numRef>
          </c:yVal>
          <c:smooth val="0"/>
          <c:extLst>
            <c:ext xmlns:c16="http://schemas.microsoft.com/office/drawing/2014/chart" uri="{C3380CC4-5D6E-409C-BE32-E72D297353CC}">
              <c16:uniqueId val="{00000004-E86B-42F6-8003-29A5B72F753B}"/>
            </c:ext>
          </c:extLst>
        </c:ser>
        <c:ser>
          <c:idx val="10"/>
          <c:order val="5"/>
          <c:tx>
            <c:v>Pipe 3 Rough</c:v>
          </c:tx>
          <c:spPr>
            <a:ln w="25400" cap="rnd">
              <a:noFill/>
              <a:round/>
            </a:ln>
            <a:effectLst/>
          </c:spPr>
          <c:marker>
            <c:symbol val="circle"/>
            <c:size val="5"/>
            <c:spPr>
              <a:noFill/>
              <a:ln w="19050">
                <a:solidFill>
                  <a:schemeClr val="accent4"/>
                </a:solidFill>
              </a:ln>
              <a:effectLst/>
            </c:spPr>
          </c:marker>
          <c:xVal>
            <c:numRef>
              <c:f>m!$DY$88:$EL$88</c:f>
              <c:numCache>
                <c:formatCode>General</c:formatCode>
                <c:ptCount val="14"/>
                <c:pt idx="0">
                  <c:v>387.12046526060993</c:v>
                </c:pt>
                <c:pt idx="1">
                  <c:v>109.01295409328802</c:v>
                </c:pt>
                <c:pt idx="2">
                  <c:v>80.044164274946709</c:v>
                </c:pt>
                <c:pt idx="3">
                  <c:v>69.315374934098855</c:v>
                </c:pt>
                <c:pt idx="4">
                  <c:v>56.845340825747876</c:v>
                </c:pt>
                <c:pt idx="5">
                  <c:v>52.110362557298266</c:v>
                </c:pt>
                <c:pt idx="6">
                  <c:v>51.347614683737454</c:v>
                </c:pt>
                <c:pt idx="7">
                  <c:v>43.636818151904194</c:v>
                </c:pt>
                <c:pt idx="8">
                  <c:v>29.734510695495572</c:v>
                </c:pt>
                <c:pt idx="10">
                  <c:v>28.325629332891609</c:v>
                </c:pt>
                <c:pt idx="11">
                  <c:v>32.438035866153264</c:v>
                </c:pt>
                <c:pt idx="13">
                  <c:v>25.30851824555894</c:v>
                </c:pt>
              </c:numCache>
            </c:numRef>
          </c:xVal>
          <c:yVal>
            <c:numRef>
              <c:f>m!$DY$108:$EL$108</c:f>
              <c:numCache>
                <c:formatCode>General</c:formatCode>
                <c:ptCount val="14"/>
                <c:pt idx="0">
                  <c:v>7.3611442375323809E-3</c:v>
                </c:pt>
                <c:pt idx="1">
                  <c:v>2.6091740046309493E-2</c:v>
                </c:pt>
                <c:pt idx="2">
                  <c:v>3.778811234889904E-2</c:v>
                </c:pt>
                <c:pt idx="3">
                  <c:v>5.4753313669653358E-2</c:v>
                </c:pt>
                <c:pt idx="4">
                  <c:v>8.5520650363639317E-2</c:v>
                </c:pt>
                <c:pt idx="5">
                  <c:v>7.6785584231706686E-2</c:v>
                </c:pt>
                <c:pt idx="6">
                  <c:v>8.2128328687384108E-2</c:v>
                </c:pt>
                <c:pt idx="7">
                  <c:v>6.8312466799255123E-2</c:v>
                </c:pt>
                <c:pt idx="8">
                  <c:v>8.6732767769770749E-2</c:v>
                </c:pt>
                <c:pt idx="10">
                  <c:v>5.9843868532745814E-2</c:v>
                </c:pt>
                <c:pt idx="11">
                  <c:v>7.8612789245365633E-2</c:v>
                </c:pt>
                <c:pt idx="13">
                  <c:v>9.6173840146222433E-2</c:v>
                </c:pt>
              </c:numCache>
            </c:numRef>
          </c:yVal>
          <c:smooth val="0"/>
          <c:extLst>
            <c:ext xmlns:c16="http://schemas.microsoft.com/office/drawing/2014/chart" uri="{C3380CC4-5D6E-409C-BE32-E72D297353CC}">
              <c16:uniqueId val="{00000005-E86B-42F6-8003-29A5B72F753B}"/>
            </c:ext>
          </c:extLst>
        </c:ser>
        <c:dLbls>
          <c:showLegendKey val="0"/>
          <c:showVal val="0"/>
          <c:showCatName val="0"/>
          <c:showSerName val="0"/>
          <c:showPercent val="0"/>
          <c:showBubbleSize val="0"/>
        </c:dLbls>
        <c:axId val="624399680"/>
        <c:axId val="624400008"/>
        <c:extLst/>
      </c:scatterChart>
      <c:valAx>
        <c:axId val="624399680"/>
        <c:scaling>
          <c:logBase val="10"/>
          <c:orientation val="minMax"/>
          <c:max val="9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Normalized Effective Axial Force, Ñ = NL</a:t>
                </a:r>
                <a:r>
                  <a:rPr lang="en-US" sz="1400" b="0" i="0" u="none" strike="noStrike" baseline="-25000">
                    <a:effectLst/>
                  </a:rPr>
                  <a:t>st</a:t>
                </a:r>
                <a:r>
                  <a:rPr lang="en-US" sz="1400" b="0" i="0" u="none" strike="noStrike" baseline="30000">
                    <a:effectLst/>
                  </a:rPr>
                  <a:t>2</a:t>
                </a:r>
                <a:r>
                  <a:rPr lang="en-US" sz="1400" b="0" i="0" u="none" strike="noStrike" baseline="0">
                    <a:effectLst/>
                  </a:rPr>
                  <a:t>/(π</a:t>
                </a:r>
                <a:r>
                  <a:rPr lang="en-US" sz="1400" b="0" i="0" u="none" strike="noStrike" baseline="30000">
                    <a:effectLst/>
                  </a:rPr>
                  <a:t>2</a:t>
                </a:r>
                <a:r>
                  <a:rPr lang="en-US" sz="1400" b="0" i="0" u="none" strike="noStrike" baseline="0">
                    <a:effectLst/>
                  </a:rPr>
                  <a:t>EI)</a:t>
                </a:r>
                <a:endParaRPr lang="en-US" sz="1800">
                  <a:effectLst/>
                </a:endParaRPr>
              </a:p>
            </c:rich>
          </c:tx>
          <c:layout>
            <c:manualLayout>
              <c:xMode val="edge"/>
              <c:yMode val="edge"/>
              <c:x val="0.24352889110897866"/>
              <c:y val="0.94056980056980055"/>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At val="1.0000000000000002E-3"/>
        <c:crossBetween val="midCat"/>
      </c:valAx>
      <c:valAx>
        <c:axId val="624400008"/>
        <c:scaling>
          <c:logBase val="10"/>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Dynamic Axial Force Ratio,  ψ</a:t>
                </a:r>
                <a:r>
                  <a:rPr lang="en-US" sz="1400" b="0" i="0" u="none" strike="noStrike" baseline="-25000">
                    <a:effectLst/>
                  </a:rPr>
                  <a:t>N</a:t>
                </a:r>
                <a:r>
                  <a:rPr lang="en-US" sz="1400" b="0" i="0" u="none" strike="noStrike" baseline="0">
                    <a:effectLst/>
                  </a:rPr>
                  <a:t> = da(N)/N</a:t>
                </a:r>
                <a:r>
                  <a:rPr lang="en-US" sz="1400" b="0" i="0" u="none" strike="noStrike" baseline="-25000">
                    <a:effectLst/>
                  </a:rPr>
                  <a:t>seq</a:t>
                </a:r>
                <a:r>
                  <a:rPr lang="en-US" sz="1400" b="0" i="0" u="none" strike="noStrike" baseline="0">
                    <a:effectLst/>
                  </a:rPr>
                  <a:t> </a:t>
                </a:r>
                <a:endParaRPr lang="en-US" sz="1400">
                  <a:effectLst/>
                </a:endParaRPr>
              </a:p>
            </c:rich>
          </c:tx>
          <c:layout>
            <c:manualLayout>
              <c:xMode val="edge"/>
              <c:yMode val="edge"/>
              <c:x val="7.2221857075878857E-3"/>
              <c:y val="0.14230761753071464"/>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minorUnit val="0.5"/>
      </c:valAx>
      <c:spPr>
        <a:noFill/>
        <a:ln w="12700">
          <a:solidFill>
            <a:srgbClr val="808080"/>
          </a:solidFill>
          <a:prstDash val="solid"/>
        </a:ln>
        <a:effectLst/>
      </c:spPr>
    </c:plotArea>
    <c:legend>
      <c:legendPos val="r"/>
      <c:layout>
        <c:manualLayout>
          <c:xMode val="edge"/>
          <c:yMode val="edge"/>
          <c:x val="0.77911502561743862"/>
          <c:y val="3.8523752906955006E-2"/>
          <c:w val="0.13559291732940729"/>
          <c:h val="0.28563220195766126"/>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accent1"/>
              </a:solidFill>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'c'!$J$277:$J$387</c:f>
              <c:numCache>
                <c:formatCode>General</c:formatCode>
                <c:ptCount val="111"/>
                <c:pt idx="1">
                  <c:v>1.1934142024121279E-10</c:v>
                </c:pt>
                <c:pt idx="2">
                  <c:v>5.8601647120351191E-10</c:v>
                </c:pt>
                <c:pt idx="3">
                  <c:v>1.3192456613036392E-9</c:v>
                </c:pt>
                <c:pt idx="4">
                  <c:v>2.271259252542075E-9</c:v>
                </c:pt>
                <c:pt idx="5">
                  <c:v>3.4183821335086984E-9</c:v>
                </c:pt>
                <c:pt idx="6">
                  <c:v>4.7486827086819816E-9</c:v>
                </c:pt>
                <c:pt idx="7">
                  <c:v>6.257152762444087E-9</c:v>
                </c:pt>
                <c:pt idx="8">
                  <c:v>7.9435562419740368E-9</c:v>
                </c:pt>
                <c:pt idx="9">
                  <c:v>9.8114222247120654E-9</c:v>
                </c:pt>
                <c:pt idx="10">
                  <c:v>1.1374507408180703E-8</c:v>
                </c:pt>
                <c:pt idx="11">
                  <c:v>1.1673474465614144E-8</c:v>
                </c:pt>
                <c:pt idx="12">
                  <c:v>2.0264645424790136E-8</c:v>
                </c:pt>
                <c:pt idx="13">
                  <c:v>2.4739861677586068E-8</c:v>
                </c:pt>
                <c:pt idx="14">
                  <c:v>2.8987397332260139E-8</c:v>
                </c:pt>
                <c:pt idx="15">
                  <c:v>3.5298224045996233E-8</c:v>
                </c:pt>
                <c:pt idx="16">
                  <c:v>4.8911174865287834E-8</c:v>
                </c:pt>
                <c:pt idx="17">
                  <c:v>6.1007977288460242E-8</c:v>
                </c:pt>
                <c:pt idx="18">
                  <c:v>7.4421787666386599E-8</c:v>
                </c:pt>
                <c:pt idx="19">
                  <c:v>6.4463953108606614E-7</c:v>
                </c:pt>
                <c:pt idx="20">
                  <c:v>7.8761767740424494E-7</c:v>
                </c:pt>
                <c:pt idx="21">
                  <c:v>2.2582933496242946E-6</c:v>
                </c:pt>
                <c:pt idx="22">
                  <c:v>2.9142366444659832E-6</c:v>
                </c:pt>
                <c:pt idx="23">
                  <c:v>3.7911356050073115E-6</c:v>
                </c:pt>
                <c:pt idx="24">
                  <c:v>6.1292229585230439E-6</c:v>
                </c:pt>
                <c:pt idx="25">
                  <c:v>8.9967233568530302E-6</c:v>
                </c:pt>
                <c:pt idx="26">
                  <c:v>1.233609164877394E-5</c:v>
                </c:pt>
                <c:pt idx="27">
                  <c:v>1.613561262893877E-5</c:v>
                </c:pt>
                <c:pt idx="28">
                  <c:v>2.0389032359386123E-5</c:v>
                </c:pt>
                <c:pt idx="29">
                  <c:v>2.7896522120382277E-5</c:v>
                </c:pt>
                <c:pt idx="30">
                  <c:v>3.4147753108393163E-5</c:v>
                </c:pt>
                <c:pt idx="31">
                  <c:v>4.1029949611978959E-5</c:v>
                </c:pt>
                <c:pt idx="32">
                  <c:v>4.8544273969271533E-5</c:v>
                </c:pt>
                <c:pt idx="33">
                  <c:v>5.6692727932485921E-5</c:v>
                </c:pt>
                <c:pt idx="34">
                  <c:v>6.5477982696394578E-5</c:v>
                </c:pt>
                <c:pt idx="35">
                  <c:v>7.4903260556928055E-5</c:v>
                </c:pt>
                <c:pt idx="36">
                  <c:v>8.4972256616025723E-5</c:v>
                </c:pt>
                <c:pt idx="37">
                  <c:v>9.6991935895223658E-5</c:v>
                </c:pt>
                <c:pt idx="38">
                  <c:v>1.1021353296924801E-4</c:v>
                </c:pt>
                <c:pt idx="39">
                  <c:v>1.244148965147945E-4</c:v>
                </c:pt>
                <c:pt idx="40">
                  <c:v>1.3960614408876169E-4</c:v>
                </c:pt>
                <c:pt idx="41">
                  <c:v>1.5579733824399569E-4</c:v>
                </c:pt>
                <c:pt idx="42">
                  <c:v>1.7299851051530958E-4</c:v>
                </c:pt>
                <c:pt idx="43">
                  <c:v>1.91219695776541E-4</c:v>
                </c:pt>
                <c:pt idx="44">
                  <c:v>2.0150243389988355E-4</c:v>
                </c:pt>
                <c:pt idx="45">
                  <c:v>2.0943177966555181E-4</c:v>
                </c:pt>
                <c:pt idx="46">
                  <c:v>2.1759298017943473E-4</c:v>
                </c:pt>
                <c:pt idx="47">
                  <c:v>2.2598350885008809E-4</c:v>
                </c:pt>
                <c:pt idx="48">
                  <c:v>2.3460143566237412E-4</c:v>
                </c:pt>
                <c:pt idx="49">
                  <c:v>2.4344532625639415E-4</c:v>
                </c:pt>
                <c:pt idx="50">
                  <c:v>2.5251416310686402E-4</c:v>
                </c:pt>
                <c:pt idx="51">
                  <c:v>2.6180728188418458E-4</c:v>
                </c:pt>
                <c:pt idx="52">
                  <c:v>2.7132432307696745E-4</c:v>
                </c:pt>
                <c:pt idx="53">
                  <c:v>2.8106519194730901E-4</c:v>
                </c:pt>
                <c:pt idx="54">
                  <c:v>2.9103002889264317E-4</c:v>
                </c:pt>
                <c:pt idx="55">
                  <c:v>3.0121918506770127E-4</c:v>
                </c:pt>
                <c:pt idx="56">
                  <c:v>3.1163320369643127E-4</c:v>
                </c:pt>
                <c:pt idx="57">
                  <c:v>3.2227280577636834E-4</c:v>
                </c:pt>
                <c:pt idx="58">
                  <c:v>3.3313887902520437E-4</c:v>
                </c:pt>
                <c:pt idx="59">
                  <c:v>3.442324713263655E-4</c:v>
                </c:pt>
                <c:pt idx="60">
                  <c:v>3.5555478386162432E-4</c:v>
                </c:pt>
                <c:pt idx="61">
                  <c:v>3.6710716902530827E-4</c:v>
                </c:pt>
                <c:pt idx="62">
                  <c:v>3.7889112888374104E-4</c:v>
                </c:pt>
                <c:pt idx="63">
                  <c:v>3.9090831599078636E-4</c:v>
                </c:pt>
                <c:pt idx="64">
                  <c:v>5.2710751318539584E-4</c:v>
                </c:pt>
                <c:pt idx="65">
                  <c:v>5.8122693562820697E-4</c:v>
                </c:pt>
                <c:pt idx="66">
                  <c:v>6.1196489842134697E-4</c:v>
                </c:pt>
                <c:pt idx="67">
                  <c:v>6.4366673031445278E-4</c:v>
                </c:pt>
                <c:pt idx="68">
                  <c:v>6.7690138242371622E-4</c:v>
                </c:pt>
                <c:pt idx="69">
                  <c:v>7.1220015311268764E-4</c:v>
                </c:pt>
                <c:pt idx="70">
                  <c:v>9.2373423117274658E-4</c:v>
                </c:pt>
                <c:pt idx="71">
                  <c:v>9.7197946815747404E-4</c:v>
                </c:pt>
                <c:pt idx="72">
                  <c:v>1.0215806075401339E-3</c:v>
                </c:pt>
                <c:pt idx="73">
                  <c:v>1.0725414525127788E-3</c:v>
                </c:pt>
                <c:pt idx="74">
                  <c:v>1.1248656960866387E-3</c:v>
                </c:pt>
                <c:pt idx="75">
                  <c:v>1.1785569182588514E-3</c:v>
                </c:pt>
                <c:pt idx="76">
                  <c:v>1.2336186015943873E-3</c:v>
                </c:pt>
                <c:pt idx="77">
                  <c:v>1.2900541459188893E-3</c:v>
                </c:pt>
                <c:pt idx="78">
                  <c:v>2.3417947460872075E-3</c:v>
                </c:pt>
                <c:pt idx="79">
                  <c:v>2.4039621873699871E-3</c:v>
                </c:pt>
                <c:pt idx="80">
                  <c:v>2.4670148846957095E-3</c:v>
                </c:pt>
                <c:pt idx="81">
                  <c:v>2.5309505094194963E-3</c:v>
                </c:pt>
                <c:pt idx="82">
                  <c:v>2.5957668200473033E-3</c:v>
                </c:pt>
                <c:pt idx="83">
                  <c:v>2.6614616797110205E-3</c:v>
                </c:pt>
                <c:pt idx="84">
                  <c:v>2.7280330239474833E-3</c:v>
                </c:pt>
                <c:pt idx="85">
                  <c:v>2.7954788771231342E-3</c:v>
                </c:pt>
                <c:pt idx="86">
                  <c:v>2.8637973290220782E-3</c:v>
                </c:pt>
                <c:pt idx="87">
                  <c:v>2.9329865335208033E-3</c:v>
                </c:pt>
                <c:pt idx="88">
                  <c:v>3.0080827599342792E-3</c:v>
                </c:pt>
                <c:pt idx="89">
                  <c:v>3.0855483338062431E-3</c:v>
                </c:pt>
                <c:pt idx="90">
                  <c:v>3.164205224460375E-3</c:v>
                </c:pt>
                <c:pt idx="91">
                  <c:v>3.2440521012868664E-3</c:v>
                </c:pt>
                <c:pt idx="92">
                  <c:v>3.3250877348839475E-3</c:v>
                </c:pt>
                <c:pt idx="93">
                  <c:v>3.4073109653295873E-3</c:v>
                </c:pt>
                <c:pt idx="94">
                  <c:v>3.6154853455104192E-3</c:v>
                </c:pt>
                <c:pt idx="95">
                  <c:v>3.7122375022227063E-3</c:v>
                </c:pt>
                <c:pt idx="96">
                  <c:v>3.8105401316618909E-3</c:v>
                </c:pt>
                <c:pt idx="97">
                  <c:v>3.910393669027336E-3</c:v>
                </c:pt>
                <c:pt idx="98">
                  <c:v>4.011798567237033E-3</c:v>
                </c:pt>
                <c:pt idx="99">
                  <c:v>4.1147552944635355E-3</c:v>
                </c:pt>
                <c:pt idx="100">
                  <c:v>4.219264316767112E-3</c:v>
                </c:pt>
                <c:pt idx="101">
                  <c:v>4.3253261092453766E-3</c:v>
                </c:pt>
                <c:pt idx="102">
                  <c:v>4.542109889913418E-3</c:v>
                </c:pt>
                <c:pt idx="103">
                  <c:v>4.7676271276182016E-3</c:v>
                </c:pt>
                <c:pt idx="104">
                  <c:v>5.0119615167507374E-3</c:v>
                </c:pt>
                <c:pt idx="105">
                  <c:v>5.263477972302027E-3</c:v>
                </c:pt>
                <c:pt idx="106">
                  <c:v>5.5221879927329328E-3</c:v>
                </c:pt>
                <c:pt idx="107">
                  <c:v>5.7881022964053315E-3</c:v>
                </c:pt>
                <c:pt idx="108">
                  <c:v>6.061230866799946E-3</c:v>
                </c:pt>
                <c:pt idx="109">
                  <c:v>6.3415829600034085E-3</c:v>
                </c:pt>
                <c:pt idx="110">
                  <c:v>6.6291671711631549E-3</c:v>
                </c:pt>
              </c:numCache>
            </c:numRef>
          </c:yVal>
          <c:smooth val="0"/>
          <c:extLst>
            <c:ext xmlns:c16="http://schemas.microsoft.com/office/drawing/2014/chart" uri="{C3380CC4-5D6E-409C-BE32-E72D297353CC}">
              <c16:uniqueId val="{00000000-6F7B-48B9-B079-0791666A4332}"/>
            </c:ext>
          </c:extLst>
        </c:ser>
        <c:dLbls>
          <c:showLegendKey val="0"/>
          <c:showVal val="0"/>
          <c:showCatName val="0"/>
          <c:showSerName val="0"/>
          <c:showPercent val="0"/>
          <c:showBubbleSize val="0"/>
        </c:dLbls>
        <c:axId val="631744552"/>
        <c:axId val="631743896"/>
      </c:scatterChart>
      <c:valAx>
        <c:axId val="631744552"/>
        <c:scaling>
          <c:orientation val="minMax"/>
          <c:max val="1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a:t>Current Velocity, Uc (m/s)</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31743896"/>
        <c:crosses val="autoZero"/>
        <c:crossBetween val="midCat"/>
      </c:valAx>
      <c:valAx>
        <c:axId val="631743896"/>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a:t>Strouhal</a:t>
                </a:r>
                <a:r>
                  <a:rPr lang="en-US" baseline="0"/>
                  <a:t> Frequency Error (radian/s)^2</a:t>
                </a:r>
                <a:endParaRPr lang="en-US"/>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31744552"/>
        <c:crosses val="autoZero"/>
        <c:crossBetween val="midCat"/>
      </c:valAx>
      <c:spPr>
        <a:noFill/>
        <a:ln w="12700">
          <a:solidFill>
            <a:srgbClr val="808080"/>
          </a:solidFill>
          <a:prstDash val="solid"/>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592614988234978E-2"/>
          <c:y val="2.4349477682811017E-2"/>
          <c:w val="0.71423991867460646"/>
          <c:h val="0.86113960113960109"/>
        </c:manualLayout>
      </c:layout>
      <c:scatterChart>
        <c:scatterStyle val="lineMarker"/>
        <c:varyColors val="0"/>
        <c:ser>
          <c:idx val="6"/>
          <c:order val="0"/>
          <c:tx>
            <c:v>Ormen Lange</c:v>
          </c:tx>
          <c:spPr>
            <a:ln w="25400" cap="rnd">
              <a:noFill/>
              <a:round/>
            </a:ln>
            <a:effectLst/>
          </c:spPr>
          <c:marker>
            <c:symbol val="circle"/>
            <c:size val="7"/>
            <c:spPr>
              <a:noFill/>
              <a:ln w="15875">
                <a:solidFill>
                  <a:schemeClr val="tx1"/>
                </a:solidFill>
              </a:ln>
              <a:effectLst/>
            </c:spPr>
          </c:marker>
          <c:xVal>
            <c:numRef>
              <c:f>m!$AF$111:$AO$111</c:f>
              <c:numCache>
                <c:formatCode>General</c:formatCode>
                <c:ptCount val="10"/>
                <c:pt idx="6">
                  <c:v>8.0109809870032578E-3</c:v>
                </c:pt>
                <c:pt idx="7">
                  <c:v>8.2596796060305788E-3</c:v>
                </c:pt>
                <c:pt idx="8">
                  <c:v>8.4847680784227997E-3</c:v>
                </c:pt>
                <c:pt idx="9">
                  <c:v>8.6964338518256135E-3</c:v>
                </c:pt>
              </c:numCache>
            </c:numRef>
          </c:xVal>
          <c:yVal>
            <c:numRef>
              <c:f>m!$AF$108:$AO$108</c:f>
              <c:numCache>
                <c:formatCode>General</c:formatCode>
                <c:ptCount val="10"/>
                <c:pt idx="6">
                  <c:v>8.7961764939928064E-2</c:v>
                </c:pt>
                <c:pt idx="7">
                  <c:v>8.5104610660634725E-2</c:v>
                </c:pt>
                <c:pt idx="8">
                  <c:v>7.4427376085370658E-2</c:v>
                </c:pt>
                <c:pt idx="9">
                  <c:v>3.9378729208722991E-2</c:v>
                </c:pt>
              </c:numCache>
            </c:numRef>
          </c:yVal>
          <c:smooth val="0"/>
          <c:extLst>
            <c:ext xmlns:c16="http://schemas.microsoft.com/office/drawing/2014/chart" uri="{C3380CC4-5D6E-409C-BE32-E72D297353CC}">
              <c16:uniqueId val="{00000000-211B-4ACE-AF6E-D16902182FAD}"/>
            </c:ext>
          </c:extLst>
        </c:ser>
        <c:ser>
          <c:idx val="7"/>
          <c:order val="1"/>
          <c:tx>
            <c:v>ExxonMobil</c:v>
          </c:tx>
          <c:spPr>
            <a:ln w="25400" cap="rnd">
              <a:noFill/>
              <a:round/>
            </a:ln>
            <a:effectLst/>
          </c:spPr>
          <c:marker>
            <c:symbol val="circle"/>
            <c:size val="7"/>
            <c:spPr>
              <a:noFill/>
              <a:ln w="15875">
                <a:solidFill>
                  <a:schemeClr val="accent3"/>
                </a:solidFill>
              </a:ln>
              <a:effectLst/>
            </c:spPr>
          </c:marker>
          <c:xVal>
            <c:numRef>
              <c:f>m!$AP$111:$BL$111</c:f>
              <c:numCache>
                <c:formatCode>General</c:formatCode>
                <c:ptCount val="23"/>
                <c:pt idx="0">
                  <c:v>7.9291604351576783E-3</c:v>
                </c:pt>
                <c:pt idx="1">
                  <c:v>2.9325115807332658E-3</c:v>
                </c:pt>
                <c:pt idx="2">
                  <c:v>6.7933022334099036E-6</c:v>
                </c:pt>
                <c:pt idx="3">
                  <c:v>2.3174929970171121E-5</c:v>
                </c:pt>
                <c:pt idx="4">
                  <c:v>1.4502417611250706E-6</c:v>
                </c:pt>
                <c:pt idx="6">
                  <c:v>5.134640951798275E-5</c:v>
                </c:pt>
                <c:pt idx="12">
                  <c:v>1.9049263035419983E-5</c:v>
                </c:pt>
                <c:pt idx="19">
                  <c:v>1.1150950006033611E-4</c:v>
                </c:pt>
                <c:pt idx="20">
                  <c:v>3.9506899689456532E-6</c:v>
                </c:pt>
                <c:pt idx="21">
                  <c:v>2.1503504823150443E-4</c:v>
                </c:pt>
              </c:numCache>
            </c:numRef>
          </c:xVal>
          <c:yVal>
            <c:numRef>
              <c:f>m!$AP$108:$BL$108</c:f>
              <c:numCache>
                <c:formatCode>General</c:formatCode>
                <c:ptCount val="23"/>
                <c:pt idx="0">
                  <c:v>1.4392232051287623E-2</c:v>
                </c:pt>
                <c:pt idx="1">
                  <c:v>2.4172187650910226E-2</c:v>
                </c:pt>
                <c:pt idx="2">
                  <c:v>9.2210546927829679E-2</c:v>
                </c:pt>
                <c:pt idx="3">
                  <c:v>6.4001701116943643E-2</c:v>
                </c:pt>
                <c:pt idx="4">
                  <c:v>8.2784316886471948E-2</c:v>
                </c:pt>
                <c:pt idx="6">
                  <c:v>8.4808240598231471E-2</c:v>
                </c:pt>
                <c:pt idx="12">
                  <c:v>7.3798334780909872E-2</c:v>
                </c:pt>
                <c:pt idx="19">
                  <c:v>1.5940907564513371E-2</c:v>
                </c:pt>
                <c:pt idx="20">
                  <c:v>3.5270871566977578E-2</c:v>
                </c:pt>
                <c:pt idx="21">
                  <c:v>2.8509755247130571E-2</c:v>
                </c:pt>
              </c:numCache>
            </c:numRef>
          </c:yVal>
          <c:smooth val="0"/>
          <c:extLst>
            <c:ext xmlns:c16="http://schemas.microsoft.com/office/drawing/2014/chart" uri="{C3380CC4-5D6E-409C-BE32-E72D297353CC}">
              <c16:uniqueId val="{00000001-211B-4ACE-AF6E-D16902182FAD}"/>
            </c:ext>
          </c:extLst>
        </c:ser>
        <c:ser>
          <c:idx val="12"/>
          <c:order val="2"/>
          <c:tx>
            <c:v>Pipe 1</c:v>
          </c:tx>
          <c:spPr>
            <a:ln w="25400" cap="rnd">
              <a:noFill/>
              <a:round/>
            </a:ln>
            <a:effectLst/>
          </c:spPr>
          <c:marker>
            <c:symbol val="circle"/>
            <c:size val="8"/>
            <c:spPr>
              <a:noFill/>
              <a:ln w="15875">
                <a:solidFill>
                  <a:schemeClr val="accent6"/>
                </a:solidFill>
              </a:ln>
              <a:effectLst/>
            </c:spPr>
          </c:marker>
          <c:xVal>
            <c:numRef>
              <c:f>m!$BM$111:$CO$111</c:f>
              <c:numCache>
                <c:formatCode>General</c:formatCode>
                <c:ptCount val="29"/>
                <c:pt idx="0">
                  <c:v>2.1890254251477614E-6</c:v>
                </c:pt>
                <c:pt idx="1">
                  <c:v>1.0788327722277558E-6</c:v>
                </c:pt>
                <c:pt idx="3">
                  <c:v>5.5684617672469017E-7</c:v>
                </c:pt>
                <c:pt idx="4">
                  <c:v>5.1886209084806012E-7</c:v>
                </c:pt>
                <c:pt idx="5">
                  <c:v>3.0432556274995193E-7</c:v>
                </c:pt>
                <c:pt idx="6">
                  <c:v>5.0743346169390691E-7</c:v>
                </c:pt>
                <c:pt idx="7">
                  <c:v>5.4012386985213823E-7</c:v>
                </c:pt>
                <c:pt idx="8">
                  <c:v>7.0988168654473327E-7</c:v>
                </c:pt>
                <c:pt idx="9">
                  <c:v>5.6151274452354016E-7</c:v>
                </c:pt>
                <c:pt idx="10">
                  <c:v>4.0649880772569702E-7</c:v>
                </c:pt>
                <c:pt idx="11">
                  <c:v>4.7009639358996935E-7</c:v>
                </c:pt>
                <c:pt idx="12">
                  <c:v>5.4552476380642645E-7</c:v>
                </c:pt>
                <c:pt idx="13">
                  <c:v>3.0394842065462058E-7</c:v>
                </c:pt>
                <c:pt idx="14">
                  <c:v>7.9852881751385496E-7</c:v>
                </c:pt>
                <c:pt idx="15">
                  <c:v>6.3621909096589491E-7</c:v>
                </c:pt>
                <c:pt idx="16">
                  <c:v>5.1720425431334149E-7</c:v>
                </c:pt>
                <c:pt idx="17">
                  <c:v>4.2943015543528418E-7</c:v>
                </c:pt>
                <c:pt idx="18">
                  <c:v>3.4644387714166669E-7</c:v>
                </c:pt>
                <c:pt idx="19">
                  <c:v>3.628575313552318E-7</c:v>
                </c:pt>
              </c:numCache>
            </c:numRef>
          </c:xVal>
          <c:yVal>
            <c:numRef>
              <c:f>m!$BM$108:$CO$108</c:f>
              <c:numCache>
                <c:formatCode>General</c:formatCode>
                <c:ptCount val="29"/>
                <c:pt idx="0">
                  <c:v>4.6853564507019947E-2</c:v>
                </c:pt>
                <c:pt idx="1">
                  <c:v>6.8110864550080599E-2</c:v>
                </c:pt>
                <c:pt idx="3">
                  <c:v>2.1488405051508393E-2</c:v>
                </c:pt>
                <c:pt idx="4">
                  <c:v>3.1048324645168823E-2</c:v>
                </c:pt>
                <c:pt idx="5">
                  <c:v>3.8555378419901649E-2</c:v>
                </c:pt>
                <c:pt idx="6">
                  <c:v>5.3872203639017194E-2</c:v>
                </c:pt>
                <c:pt idx="7">
                  <c:v>6.6044804160853898E-2</c:v>
                </c:pt>
                <c:pt idx="8">
                  <c:v>6.8237712990611404E-2</c:v>
                </c:pt>
                <c:pt idx="9">
                  <c:v>6.6551964228173111E-2</c:v>
                </c:pt>
                <c:pt idx="10">
                  <c:v>6.7762351100982429E-2</c:v>
                </c:pt>
                <c:pt idx="11">
                  <c:v>7.8986671191811186E-2</c:v>
                </c:pt>
                <c:pt idx="12">
                  <c:v>8.4386209320913563E-2</c:v>
                </c:pt>
                <c:pt idx="13">
                  <c:v>3.7819627836849154E-2</c:v>
                </c:pt>
                <c:pt idx="14">
                  <c:v>6.1377704783325264E-2</c:v>
                </c:pt>
                <c:pt idx="15">
                  <c:v>5.7940318497491594E-2</c:v>
                </c:pt>
                <c:pt idx="16">
                  <c:v>8.4038381126712469E-2</c:v>
                </c:pt>
                <c:pt idx="17">
                  <c:v>8.7501666903431669E-2</c:v>
                </c:pt>
                <c:pt idx="18">
                  <c:v>7.9839734111066402E-2</c:v>
                </c:pt>
                <c:pt idx="19">
                  <c:v>8.0748563737711304E-2</c:v>
                </c:pt>
              </c:numCache>
            </c:numRef>
          </c:yVal>
          <c:smooth val="0"/>
          <c:extLst>
            <c:ext xmlns:c16="http://schemas.microsoft.com/office/drawing/2014/chart" uri="{C3380CC4-5D6E-409C-BE32-E72D297353CC}">
              <c16:uniqueId val="{00000002-211B-4ACE-AF6E-D16902182FAD}"/>
            </c:ext>
          </c:extLst>
        </c:ser>
        <c:ser>
          <c:idx val="14"/>
          <c:order val="3"/>
          <c:tx>
            <c:v>Pipe 2</c:v>
          </c:tx>
          <c:spPr>
            <a:ln w="25400" cap="rnd">
              <a:noFill/>
              <a:round/>
            </a:ln>
            <a:effectLst/>
          </c:spPr>
          <c:marker>
            <c:symbol val="circle"/>
            <c:size val="7"/>
            <c:spPr>
              <a:noFill/>
              <a:ln w="15875">
                <a:solidFill>
                  <a:srgbClr val="00B0F0"/>
                </a:solidFill>
              </a:ln>
              <a:effectLst/>
            </c:spPr>
          </c:marker>
          <c:xVal>
            <c:numRef>
              <c:f>m!$CP$111:$DT$111</c:f>
              <c:numCache>
                <c:formatCode>General</c:formatCode>
                <c:ptCount val="31"/>
                <c:pt idx="0">
                  <c:v>1.5132034772391556E-4</c:v>
                </c:pt>
                <c:pt idx="1">
                  <c:v>5.2617172734636952E-5</c:v>
                </c:pt>
                <c:pt idx="2">
                  <c:v>2.0825709708738316E-5</c:v>
                </c:pt>
                <c:pt idx="3">
                  <c:v>3.2805366327215424E-5</c:v>
                </c:pt>
                <c:pt idx="4">
                  <c:v>4.0392266435151924E-5</c:v>
                </c:pt>
                <c:pt idx="5">
                  <c:v>1.7798469366558933E-5</c:v>
                </c:pt>
                <c:pt idx="6">
                  <c:v>2.1151565047894394E-5</c:v>
                </c:pt>
                <c:pt idx="7">
                  <c:v>2.6343214963420181E-5</c:v>
                </c:pt>
                <c:pt idx="8">
                  <c:v>1.3446006146278222E-5</c:v>
                </c:pt>
                <c:pt idx="9">
                  <c:v>1.4156995189917865E-5</c:v>
                </c:pt>
                <c:pt idx="10">
                  <c:v>1.5841507469360749E-5</c:v>
                </c:pt>
                <c:pt idx="11">
                  <c:v>1.6843207561123563E-5</c:v>
                </c:pt>
                <c:pt idx="12">
                  <c:v>1.8392730243066424E-5</c:v>
                </c:pt>
                <c:pt idx="14">
                  <c:v>7.9894314988226967E-6</c:v>
                </c:pt>
                <c:pt idx="15">
                  <c:v>1.7937330517048267E-4</c:v>
                </c:pt>
                <c:pt idx="18">
                  <c:v>1.5905313604624993E-5</c:v>
                </c:pt>
                <c:pt idx="19">
                  <c:v>8.8774376574285441E-6</c:v>
                </c:pt>
                <c:pt idx="20">
                  <c:v>9.248524226235233E-6</c:v>
                </c:pt>
                <c:pt idx="21">
                  <c:v>9.5481961415178063E-6</c:v>
                </c:pt>
                <c:pt idx="22">
                  <c:v>9.8210249435126684E-6</c:v>
                </c:pt>
                <c:pt idx="23">
                  <c:v>8.7650101266745217E-4</c:v>
                </c:pt>
                <c:pt idx="24">
                  <c:v>1.0304828815588252E-4</c:v>
                </c:pt>
                <c:pt idx="25">
                  <c:v>9.5492010863407195E-4</c:v>
                </c:pt>
                <c:pt idx="26">
                  <c:v>1.3916137705183296E-4</c:v>
                </c:pt>
                <c:pt idx="27">
                  <c:v>1.1162901808559056E-4</c:v>
                </c:pt>
                <c:pt idx="28">
                  <c:v>1.6167928459154268E-5</c:v>
                </c:pt>
                <c:pt idx="29">
                  <c:v>1.7148402894351378E-5</c:v>
                </c:pt>
              </c:numCache>
            </c:numRef>
          </c:xVal>
          <c:yVal>
            <c:numRef>
              <c:f>m!$CP$108:$DT$108</c:f>
              <c:numCache>
                <c:formatCode>General</c:formatCode>
                <c:ptCount val="31"/>
                <c:pt idx="0">
                  <c:v>4.3297773300129433E-2</c:v>
                </c:pt>
                <c:pt idx="1">
                  <c:v>6.6130935534151197E-2</c:v>
                </c:pt>
                <c:pt idx="2">
                  <c:v>5.516615427845397E-2</c:v>
                </c:pt>
                <c:pt idx="3">
                  <c:v>5.5292401122578612E-2</c:v>
                </c:pt>
                <c:pt idx="4">
                  <c:v>7.7044127909613444E-2</c:v>
                </c:pt>
                <c:pt idx="5">
                  <c:v>5.2035834128258053E-2</c:v>
                </c:pt>
                <c:pt idx="6">
                  <c:v>8.2027492863262649E-2</c:v>
                </c:pt>
                <c:pt idx="7">
                  <c:v>4.1431568350316243E-2</c:v>
                </c:pt>
                <c:pt idx="8">
                  <c:v>4.7670011131603483E-2</c:v>
                </c:pt>
                <c:pt idx="9">
                  <c:v>4.8053553703230112E-2</c:v>
                </c:pt>
                <c:pt idx="10">
                  <c:v>5.2725101805122271E-2</c:v>
                </c:pt>
                <c:pt idx="11">
                  <c:v>4.5040894194394769E-2</c:v>
                </c:pt>
                <c:pt idx="12">
                  <c:v>5.7225214625532983E-2</c:v>
                </c:pt>
                <c:pt idx="14">
                  <c:v>7.0584990533444941E-2</c:v>
                </c:pt>
                <c:pt idx="15">
                  <c:v>3.6970116012211722E-2</c:v>
                </c:pt>
                <c:pt idx="18">
                  <c:v>5.7970734248348962E-2</c:v>
                </c:pt>
                <c:pt idx="19">
                  <c:v>6.0315122890437042E-2</c:v>
                </c:pt>
                <c:pt idx="20">
                  <c:v>6.677730487031408E-2</c:v>
                </c:pt>
                <c:pt idx="21">
                  <c:v>6.2178225286365837E-2</c:v>
                </c:pt>
                <c:pt idx="22">
                  <c:v>8.100283574510396E-2</c:v>
                </c:pt>
                <c:pt idx="23">
                  <c:v>2.0904421034430822E-2</c:v>
                </c:pt>
                <c:pt idx="24">
                  <c:v>3.3069259318991823E-2</c:v>
                </c:pt>
                <c:pt idx="25">
                  <c:v>3.1914094541075633E-2</c:v>
                </c:pt>
                <c:pt idx="26">
                  <c:v>2.8637400407671883E-2</c:v>
                </c:pt>
                <c:pt idx="27">
                  <c:v>3.8282692468812898E-2</c:v>
                </c:pt>
                <c:pt idx="28">
                  <c:v>9.7766217058401869E-2</c:v>
                </c:pt>
                <c:pt idx="29">
                  <c:v>9.426627203685034E-2</c:v>
                </c:pt>
              </c:numCache>
            </c:numRef>
          </c:yVal>
          <c:smooth val="0"/>
          <c:extLst>
            <c:ext xmlns:c16="http://schemas.microsoft.com/office/drawing/2014/chart" uri="{C3380CC4-5D6E-409C-BE32-E72D297353CC}">
              <c16:uniqueId val="{00000003-211B-4ACE-AF6E-D16902182FAD}"/>
            </c:ext>
          </c:extLst>
        </c:ser>
        <c:ser>
          <c:idx val="8"/>
          <c:order val="4"/>
          <c:tx>
            <c:v>Pipe 3 Smooth</c:v>
          </c:tx>
          <c:spPr>
            <a:ln w="25400" cap="rnd">
              <a:noFill/>
              <a:round/>
            </a:ln>
            <a:effectLst/>
          </c:spPr>
          <c:marker>
            <c:symbol val="circle"/>
            <c:size val="7"/>
            <c:spPr>
              <a:noFill/>
              <a:ln w="15875">
                <a:solidFill>
                  <a:schemeClr val="accent2"/>
                </a:solidFill>
              </a:ln>
              <a:effectLst/>
            </c:spPr>
          </c:marker>
          <c:xVal>
            <c:numRef>
              <c:f>m!$DU$111:$DX$111</c:f>
              <c:numCache>
                <c:formatCode>General</c:formatCode>
                <c:ptCount val="4"/>
                <c:pt idx="1">
                  <c:v>1.4827043586835842E-3</c:v>
                </c:pt>
              </c:numCache>
            </c:numRef>
          </c:xVal>
          <c:yVal>
            <c:numRef>
              <c:f>m!$DU$108:$DX$108</c:f>
              <c:numCache>
                <c:formatCode>General</c:formatCode>
                <c:ptCount val="4"/>
                <c:pt idx="1">
                  <c:v>3.4701885708545627E-2</c:v>
                </c:pt>
              </c:numCache>
            </c:numRef>
          </c:yVal>
          <c:smooth val="0"/>
          <c:extLst>
            <c:ext xmlns:c16="http://schemas.microsoft.com/office/drawing/2014/chart" uri="{C3380CC4-5D6E-409C-BE32-E72D297353CC}">
              <c16:uniqueId val="{00000004-211B-4ACE-AF6E-D16902182FAD}"/>
            </c:ext>
          </c:extLst>
        </c:ser>
        <c:ser>
          <c:idx val="10"/>
          <c:order val="5"/>
          <c:tx>
            <c:v>Pipe 3 Rough</c:v>
          </c:tx>
          <c:spPr>
            <a:ln w="25400" cap="rnd">
              <a:noFill/>
              <a:round/>
            </a:ln>
            <a:effectLst/>
          </c:spPr>
          <c:marker>
            <c:symbol val="circle"/>
            <c:size val="5"/>
            <c:spPr>
              <a:noFill/>
              <a:ln w="19050">
                <a:solidFill>
                  <a:schemeClr val="accent4"/>
                </a:solidFill>
              </a:ln>
              <a:effectLst/>
            </c:spPr>
          </c:marker>
          <c:xVal>
            <c:numRef>
              <c:f>m!$DY$111:$EL$111</c:f>
              <c:numCache>
                <c:formatCode>General</c:formatCode>
                <c:ptCount val="14"/>
                <c:pt idx="0">
                  <c:v>1.8615464102569979E-2</c:v>
                </c:pt>
                <c:pt idx="1">
                  <c:v>8.3830289876107855E-4</c:v>
                </c:pt>
                <c:pt idx="2">
                  <c:v>1.4388262270559338E-4</c:v>
                </c:pt>
                <c:pt idx="3">
                  <c:v>2.5093699608458309E-4</c:v>
                </c:pt>
                <c:pt idx="4">
                  <c:v>3.0289283997819716E-4</c:v>
                </c:pt>
                <c:pt idx="5">
                  <c:v>9.7535659270064912E-5</c:v>
                </c:pt>
                <c:pt idx="6">
                  <c:v>1.2496213672297252E-4</c:v>
                </c:pt>
                <c:pt idx="7">
                  <c:v>1.2864377587118447E-4</c:v>
                </c:pt>
                <c:pt idx="8">
                  <c:v>2.8898309381442111E-4</c:v>
                </c:pt>
                <c:pt idx="10">
                  <c:v>1.1263591524057759E-4</c:v>
                </c:pt>
                <c:pt idx="11">
                  <c:v>1.168952044932059E-4</c:v>
                </c:pt>
                <c:pt idx="13">
                  <c:v>1.0162205230224153E-4</c:v>
                </c:pt>
              </c:numCache>
            </c:numRef>
          </c:xVal>
          <c:yVal>
            <c:numRef>
              <c:f>m!$DY$108:$EL$108</c:f>
              <c:numCache>
                <c:formatCode>General</c:formatCode>
                <c:ptCount val="14"/>
                <c:pt idx="0">
                  <c:v>7.3611442375323809E-3</c:v>
                </c:pt>
                <c:pt idx="1">
                  <c:v>2.6091740046309493E-2</c:v>
                </c:pt>
                <c:pt idx="2">
                  <c:v>3.778811234889904E-2</c:v>
                </c:pt>
                <c:pt idx="3">
                  <c:v>5.4753313669653358E-2</c:v>
                </c:pt>
                <c:pt idx="4">
                  <c:v>8.5520650363639317E-2</c:v>
                </c:pt>
                <c:pt idx="5">
                  <c:v>7.6785584231706686E-2</c:v>
                </c:pt>
                <c:pt idx="6">
                  <c:v>8.2128328687384108E-2</c:v>
                </c:pt>
                <c:pt idx="7">
                  <c:v>6.8312466799255123E-2</c:v>
                </c:pt>
                <c:pt idx="8">
                  <c:v>8.6732767769770749E-2</c:v>
                </c:pt>
                <c:pt idx="10">
                  <c:v>5.9843868532745814E-2</c:v>
                </c:pt>
                <c:pt idx="11">
                  <c:v>7.8612789245365633E-2</c:v>
                </c:pt>
                <c:pt idx="13">
                  <c:v>9.6173840146222433E-2</c:v>
                </c:pt>
              </c:numCache>
            </c:numRef>
          </c:yVal>
          <c:smooth val="0"/>
          <c:extLst>
            <c:ext xmlns:c16="http://schemas.microsoft.com/office/drawing/2014/chart" uri="{C3380CC4-5D6E-409C-BE32-E72D297353CC}">
              <c16:uniqueId val="{00000005-211B-4ACE-AF6E-D16902182FAD}"/>
            </c:ext>
          </c:extLst>
        </c:ser>
        <c:dLbls>
          <c:showLegendKey val="0"/>
          <c:showVal val="0"/>
          <c:showCatName val="0"/>
          <c:showSerName val="0"/>
          <c:showPercent val="0"/>
          <c:showBubbleSize val="0"/>
        </c:dLbls>
        <c:axId val="624399680"/>
        <c:axId val="624400008"/>
        <c:extLst/>
      </c:scatterChart>
      <c:valAx>
        <c:axId val="624399680"/>
        <c:scaling>
          <c:logBase val="10"/>
          <c:orientation val="minMax"/>
          <c:max val="0.1"/>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Arial"/>
                    <a:ea typeface="Arial"/>
                    <a:cs typeface="Arial"/>
                  </a:defRPr>
                </a:pPr>
                <a:r>
                  <a:rPr lang="en-US" sz="1600">
                    <a:effectLst/>
                  </a:rPr>
                  <a:t>Relative Change in Natural Frequency due to Arch Action for Strouhal Mode, ψ</a:t>
                </a:r>
                <a:r>
                  <a:rPr lang="en-US" sz="1600" baseline="-25000">
                    <a:effectLst/>
                  </a:rPr>
                  <a:t>arch,st</a:t>
                </a:r>
                <a:r>
                  <a:rPr lang="en-US" sz="1600">
                    <a:effectLst/>
                  </a:rPr>
                  <a:t> </a:t>
                </a:r>
              </a:p>
            </c:rich>
          </c:tx>
          <c:layout>
            <c:manualLayout>
              <c:xMode val="edge"/>
              <c:yMode val="edge"/>
              <c:x val="9.9956270073920231E-2"/>
              <c:y val="0.94436847103513766"/>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At val="1.0000000000000002E-3"/>
        <c:crossBetween val="midCat"/>
      </c:valAx>
      <c:valAx>
        <c:axId val="624400008"/>
        <c:scaling>
          <c:logBase val="10"/>
          <c:orientation val="minMax"/>
          <c:max val="0.1"/>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Dynamic Axial Force Ratio,  ψ</a:t>
                </a:r>
                <a:r>
                  <a:rPr lang="en-US" sz="1400" b="0" i="0" u="none" strike="noStrike" baseline="-25000">
                    <a:effectLst/>
                  </a:rPr>
                  <a:t>N</a:t>
                </a:r>
                <a:r>
                  <a:rPr lang="en-US" sz="1400" b="0" i="0" u="none" strike="noStrike" baseline="0">
                    <a:effectLst/>
                  </a:rPr>
                  <a:t> = da(N)/N</a:t>
                </a:r>
                <a:r>
                  <a:rPr lang="en-US" sz="1400" b="0" i="0" u="none" strike="noStrike" baseline="-25000">
                    <a:effectLst/>
                  </a:rPr>
                  <a:t>seq</a:t>
                </a:r>
                <a:r>
                  <a:rPr lang="en-US" sz="1400" b="0" i="0" u="none" strike="noStrike" baseline="0">
                    <a:effectLst/>
                  </a:rPr>
                  <a:t> </a:t>
                </a:r>
                <a:endParaRPr lang="en-US" sz="1400">
                  <a:effectLst/>
                </a:endParaRPr>
              </a:p>
            </c:rich>
          </c:tx>
          <c:layout>
            <c:manualLayout>
              <c:xMode val="edge"/>
              <c:yMode val="edge"/>
              <c:x val="7.2221857075878857E-3"/>
              <c:y val="0.14230761753071464"/>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At val="1.0000000000000005E-7"/>
        <c:crossBetween val="midCat"/>
        <c:minorUnit val="0.5"/>
      </c:valAx>
      <c:spPr>
        <a:noFill/>
        <a:ln w="12700">
          <a:solidFill>
            <a:srgbClr val="808080"/>
          </a:solidFill>
          <a:prstDash val="solid"/>
        </a:ln>
        <a:effectLst/>
      </c:spPr>
    </c:plotArea>
    <c:legend>
      <c:legendPos val="r"/>
      <c:layout>
        <c:manualLayout>
          <c:xMode val="edge"/>
          <c:yMode val="edge"/>
          <c:x val="0.83587632931526301"/>
          <c:y val="3.8523752906955006E-2"/>
          <c:w val="0.13559291732940729"/>
          <c:h val="0.28563220195766126"/>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6"/>
          <c:order val="0"/>
          <c:tx>
            <c:v>Ormen Lange</c:v>
          </c:tx>
          <c:spPr>
            <a:ln w="25400" cap="rnd">
              <a:noFill/>
              <a:round/>
            </a:ln>
            <a:effectLst/>
          </c:spPr>
          <c:marker>
            <c:symbol val="circle"/>
            <c:size val="7"/>
            <c:spPr>
              <a:noFill/>
              <a:ln w="15875">
                <a:solidFill>
                  <a:schemeClr val="tx1"/>
                </a:solidFill>
              </a:ln>
              <a:effectLst/>
            </c:spPr>
          </c:marker>
          <c:xVal>
            <c:numRef>
              <c:f>m!$AF$113:$AO$113</c:f>
              <c:numCache>
                <c:formatCode>General</c:formatCode>
                <c:ptCount val="10"/>
                <c:pt idx="6">
                  <c:v>0.13220988624071356</c:v>
                </c:pt>
                <c:pt idx="7">
                  <c:v>0.13862354861363463</c:v>
                </c:pt>
                <c:pt idx="8">
                  <c:v>0.14412975946873419</c:v>
                </c:pt>
                <c:pt idx="9">
                  <c:v>0.14897559475199484</c:v>
                </c:pt>
              </c:numCache>
            </c:numRef>
          </c:xVal>
          <c:yVal>
            <c:numRef>
              <c:f>m!$AF$108:$AO$108</c:f>
              <c:numCache>
                <c:formatCode>General</c:formatCode>
                <c:ptCount val="10"/>
                <c:pt idx="6">
                  <c:v>8.7961764939928064E-2</c:v>
                </c:pt>
                <c:pt idx="7">
                  <c:v>8.5104610660634725E-2</c:v>
                </c:pt>
                <c:pt idx="8">
                  <c:v>7.4427376085370658E-2</c:v>
                </c:pt>
                <c:pt idx="9">
                  <c:v>3.9378729208722991E-2</c:v>
                </c:pt>
              </c:numCache>
            </c:numRef>
          </c:yVal>
          <c:smooth val="0"/>
          <c:extLst>
            <c:ext xmlns:c16="http://schemas.microsoft.com/office/drawing/2014/chart" uri="{C3380CC4-5D6E-409C-BE32-E72D297353CC}">
              <c16:uniqueId val="{00000000-E947-4DD2-8C31-4652B3355B8D}"/>
            </c:ext>
          </c:extLst>
        </c:ser>
        <c:ser>
          <c:idx val="7"/>
          <c:order val="1"/>
          <c:tx>
            <c:v>ExxonMobil</c:v>
          </c:tx>
          <c:spPr>
            <a:ln w="25400" cap="rnd">
              <a:noFill/>
              <a:round/>
            </a:ln>
            <a:effectLst/>
          </c:spPr>
          <c:marker>
            <c:symbol val="circle"/>
            <c:size val="7"/>
            <c:spPr>
              <a:noFill/>
              <a:ln w="15875">
                <a:solidFill>
                  <a:schemeClr val="accent3"/>
                </a:solidFill>
              </a:ln>
              <a:effectLst/>
            </c:spPr>
          </c:marker>
          <c:xVal>
            <c:numRef>
              <c:f>m!$AP$113:$BL$113</c:f>
              <c:numCache>
                <c:formatCode>General</c:formatCode>
                <c:ptCount val="23"/>
                <c:pt idx="0">
                  <c:v>4.4379306190494428E-4</c:v>
                </c:pt>
                <c:pt idx="1">
                  <c:v>8.4138179230612206E-4</c:v>
                </c:pt>
                <c:pt idx="2">
                  <c:v>1.5977944249579816E-3</c:v>
                </c:pt>
                <c:pt idx="3">
                  <c:v>2.3640611615414336E-3</c:v>
                </c:pt>
                <c:pt idx="4">
                  <c:v>3.0633786836429503E-3</c:v>
                </c:pt>
                <c:pt idx="6">
                  <c:v>3.9059343741279485E-3</c:v>
                </c:pt>
                <c:pt idx="12">
                  <c:v>5.2374924845658803E-3</c:v>
                </c:pt>
                <c:pt idx="19">
                  <c:v>6.5696220669024964E-4</c:v>
                </c:pt>
                <c:pt idx="20">
                  <c:v>1.2481319126277349E-3</c:v>
                </c:pt>
                <c:pt idx="21">
                  <c:v>8.7868460738200821E-4</c:v>
                </c:pt>
              </c:numCache>
            </c:numRef>
          </c:xVal>
          <c:yVal>
            <c:numRef>
              <c:f>m!$AP$108:$BL$108</c:f>
              <c:numCache>
                <c:formatCode>General</c:formatCode>
                <c:ptCount val="23"/>
                <c:pt idx="0">
                  <c:v>1.4392232051287623E-2</c:v>
                </c:pt>
                <c:pt idx="1">
                  <c:v>2.4172187650910226E-2</c:v>
                </c:pt>
                <c:pt idx="2">
                  <c:v>9.2210546927829679E-2</c:v>
                </c:pt>
                <c:pt idx="3">
                  <c:v>6.4001701116943643E-2</c:v>
                </c:pt>
                <c:pt idx="4">
                  <c:v>8.2784316886471948E-2</c:v>
                </c:pt>
                <c:pt idx="6">
                  <c:v>8.4808240598231471E-2</c:v>
                </c:pt>
                <c:pt idx="12">
                  <c:v>7.3798334780909872E-2</c:v>
                </c:pt>
                <c:pt idx="19">
                  <c:v>1.5940907564513371E-2</c:v>
                </c:pt>
                <c:pt idx="20">
                  <c:v>3.5270871566977578E-2</c:v>
                </c:pt>
                <c:pt idx="21">
                  <c:v>2.8509755247130571E-2</c:v>
                </c:pt>
              </c:numCache>
            </c:numRef>
          </c:yVal>
          <c:smooth val="0"/>
          <c:extLst>
            <c:ext xmlns:c16="http://schemas.microsoft.com/office/drawing/2014/chart" uri="{C3380CC4-5D6E-409C-BE32-E72D297353CC}">
              <c16:uniqueId val="{00000001-E947-4DD2-8C31-4652B3355B8D}"/>
            </c:ext>
          </c:extLst>
        </c:ser>
        <c:ser>
          <c:idx val="12"/>
          <c:order val="2"/>
          <c:tx>
            <c:v>Pipe 1</c:v>
          </c:tx>
          <c:spPr>
            <a:ln w="25400" cap="rnd">
              <a:noFill/>
              <a:round/>
            </a:ln>
            <a:effectLst/>
          </c:spPr>
          <c:marker>
            <c:symbol val="circle"/>
            <c:size val="8"/>
            <c:spPr>
              <a:noFill/>
              <a:ln w="15875">
                <a:solidFill>
                  <a:schemeClr val="accent6"/>
                </a:solidFill>
              </a:ln>
              <a:effectLst/>
            </c:spPr>
          </c:marker>
          <c:xVal>
            <c:numRef>
              <c:f>m!$BM$113:$CO$113</c:f>
              <c:numCache>
                <c:formatCode>General</c:formatCode>
                <c:ptCount val="29"/>
                <c:pt idx="0">
                  <c:v>6.5138901382717296E-3</c:v>
                </c:pt>
                <c:pt idx="1">
                  <c:v>7.3896184587277187E-3</c:v>
                </c:pt>
                <c:pt idx="3">
                  <c:v>2.1090717249037699E-3</c:v>
                </c:pt>
                <c:pt idx="4">
                  <c:v>2.771620981488723E-3</c:v>
                </c:pt>
                <c:pt idx="5">
                  <c:v>3.7107649168312577E-3</c:v>
                </c:pt>
                <c:pt idx="6">
                  <c:v>4.0895553277085772E-3</c:v>
                </c:pt>
                <c:pt idx="7">
                  <c:v>4.3822413198589712E-3</c:v>
                </c:pt>
                <c:pt idx="8">
                  <c:v>4.6753353848281954E-3</c:v>
                </c:pt>
                <c:pt idx="9">
                  <c:v>5.1322068889790582E-3</c:v>
                </c:pt>
                <c:pt idx="10">
                  <c:v>5.3401123544633946E-3</c:v>
                </c:pt>
                <c:pt idx="11">
                  <c:v>5.3833030806429132E-3</c:v>
                </c:pt>
                <c:pt idx="12">
                  <c:v>5.0552154644590737E-3</c:v>
                </c:pt>
                <c:pt idx="13">
                  <c:v>2.3264528040196908E-3</c:v>
                </c:pt>
                <c:pt idx="14">
                  <c:v>4.7094063620177103E-3</c:v>
                </c:pt>
                <c:pt idx="15">
                  <c:v>5.031591364523867E-3</c:v>
                </c:pt>
                <c:pt idx="16">
                  <c:v>5.3563683794444301E-3</c:v>
                </c:pt>
                <c:pt idx="17">
                  <c:v>5.1615257561847079E-3</c:v>
                </c:pt>
                <c:pt idx="18">
                  <c:v>5.3600499049048511E-3</c:v>
                </c:pt>
                <c:pt idx="19">
                  <c:v>5.5217168286727869E-3</c:v>
                </c:pt>
              </c:numCache>
            </c:numRef>
          </c:xVal>
          <c:yVal>
            <c:numRef>
              <c:f>m!$BM$108:$CO$108</c:f>
              <c:numCache>
                <c:formatCode>General</c:formatCode>
                <c:ptCount val="29"/>
                <c:pt idx="0">
                  <c:v>4.6853564507019947E-2</c:v>
                </c:pt>
                <c:pt idx="1">
                  <c:v>6.8110864550080599E-2</c:v>
                </c:pt>
                <c:pt idx="3">
                  <c:v>2.1488405051508393E-2</c:v>
                </c:pt>
                <c:pt idx="4">
                  <c:v>3.1048324645168823E-2</c:v>
                </c:pt>
                <c:pt idx="5">
                  <c:v>3.8555378419901649E-2</c:v>
                </c:pt>
                <c:pt idx="6">
                  <c:v>5.3872203639017194E-2</c:v>
                </c:pt>
                <c:pt idx="7">
                  <c:v>6.6044804160853898E-2</c:v>
                </c:pt>
                <c:pt idx="8">
                  <c:v>6.8237712990611404E-2</c:v>
                </c:pt>
                <c:pt idx="9">
                  <c:v>6.6551964228173111E-2</c:v>
                </c:pt>
                <c:pt idx="10">
                  <c:v>6.7762351100982429E-2</c:v>
                </c:pt>
                <c:pt idx="11">
                  <c:v>7.8986671191811186E-2</c:v>
                </c:pt>
                <c:pt idx="12">
                  <c:v>8.4386209320913563E-2</c:v>
                </c:pt>
                <c:pt idx="13">
                  <c:v>3.7819627836849154E-2</c:v>
                </c:pt>
                <c:pt idx="14">
                  <c:v>6.1377704783325264E-2</c:v>
                </c:pt>
                <c:pt idx="15">
                  <c:v>5.7940318497491594E-2</c:v>
                </c:pt>
                <c:pt idx="16">
                  <c:v>8.4038381126712469E-2</c:v>
                </c:pt>
                <c:pt idx="17">
                  <c:v>8.7501666903431669E-2</c:v>
                </c:pt>
                <c:pt idx="18">
                  <c:v>7.9839734111066402E-2</c:v>
                </c:pt>
                <c:pt idx="19">
                  <c:v>8.0748563737711304E-2</c:v>
                </c:pt>
              </c:numCache>
            </c:numRef>
          </c:yVal>
          <c:smooth val="0"/>
          <c:extLst>
            <c:ext xmlns:c16="http://schemas.microsoft.com/office/drawing/2014/chart" uri="{C3380CC4-5D6E-409C-BE32-E72D297353CC}">
              <c16:uniqueId val="{00000002-E947-4DD2-8C31-4652B3355B8D}"/>
            </c:ext>
          </c:extLst>
        </c:ser>
        <c:ser>
          <c:idx val="14"/>
          <c:order val="3"/>
          <c:tx>
            <c:v>Pipe 2</c:v>
          </c:tx>
          <c:spPr>
            <a:ln w="25400" cap="rnd">
              <a:noFill/>
              <a:round/>
            </a:ln>
            <a:effectLst/>
          </c:spPr>
          <c:marker>
            <c:symbol val="circle"/>
            <c:size val="7"/>
            <c:spPr>
              <a:noFill/>
              <a:ln w="15875">
                <a:solidFill>
                  <a:srgbClr val="00B0F0"/>
                </a:solidFill>
              </a:ln>
              <a:effectLst/>
            </c:spPr>
          </c:marker>
          <c:xVal>
            <c:numRef>
              <c:f>m!$CP$113:$DT$113</c:f>
              <c:numCache>
                <c:formatCode>General</c:formatCode>
                <c:ptCount val="31"/>
                <c:pt idx="0">
                  <c:v>1.7830097026760187E-2</c:v>
                </c:pt>
                <c:pt idx="1">
                  <c:v>2.400645809136541E-2</c:v>
                </c:pt>
                <c:pt idx="2">
                  <c:v>3.0107105719414624E-2</c:v>
                </c:pt>
                <c:pt idx="3">
                  <c:v>3.1475930148898559E-2</c:v>
                </c:pt>
                <c:pt idx="4">
                  <c:v>3.4028370828406936E-2</c:v>
                </c:pt>
                <c:pt idx="5">
                  <c:v>3.7861444824255165E-2</c:v>
                </c:pt>
                <c:pt idx="6">
                  <c:v>3.8840393320812697E-2</c:v>
                </c:pt>
                <c:pt idx="7">
                  <c:v>3.6117529854034394E-2</c:v>
                </c:pt>
                <c:pt idx="8">
                  <c:v>3.5546014701676003E-2</c:v>
                </c:pt>
                <c:pt idx="9">
                  <c:v>3.8841633302714118E-2</c:v>
                </c:pt>
                <c:pt idx="10">
                  <c:v>3.7080340474578609E-2</c:v>
                </c:pt>
                <c:pt idx="11">
                  <c:v>3.7766581043843436E-2</c:v>
                </c:pt>
                <c:pt idx="12">
                  <c:v>3.5613969369398542E-2</c:v>
                </c:pt>
                <c:pt idx="14">
                  <c:v>3.6391898684488985E-2</c:v>
                </c:pt>
                <c:pt idx="15">
                  <c:v>1.4303672589026371E-2</c:v>
                </c:pt>
                <c:pt idx="18">
                  <c:v>4.8228495123824079E-2</c:v>
                </c:pt>
                <c:pt idx="19">
                  <c:v>4.6256516671554428E-2</c:v>
                </c:pt>
                <c:pt idx="20">
                  <c:v>4.4427090052169403E-2</c:v>
                </c:pt>
                <c:pt idx="21">
                  <c:v>4.2717257458107838E-2</c:v>
                </c:pt>
                <c:pt idx="22">
                  <c:v>4.0312921801012987E-2</c:v>
                </c:pt>
                <c:pt idx="23">
                  <c:v>4.8867278392717897E-3</c:v>
                </c:pt>
                <c:pt idx="24">
                  <c:v>1.0380405809143036E-2</c:v>
                </c:pt>
                <c:pt idx="25">
                  <c:v>6.9432841559066063E-3</c:v>
                </c:pt>
                <c:pt idx="26">
                  <c:v>1.4142900471480049E-2</c:v>
                </c:pt>
                <c:pt idx="27">
                  <c:v>9.2033333544638395E-3</c:v>
                </c:pt>
                <c:pt idx="28">
                  <c:v>7.8580213836514229E-2</c:v>
                </c:pt>
                <c:pt idx="29">
                  <c:v>6.9831277282710991E-2</c:v>
                </c:pt>
              </c:numCache>
            </c:numRef>
          </c:xVal>
          <c:yVal>
            <c:numRef>
              <c:f>m!$CP$108:$DT$108</c:f>
              <c:numCache>
                <c:formatCode>General</c:formatCode>
                <c:ptCount val="31"/>
                <c:pt idx="0">
                  <c:v>4.3297773300129433E-2</c:v>
                </c:pt>
                <c:pt idx="1">
                  <c:v>6.6130935534151197E-2</c:v>
                </c:pt>
                <c:pt idx="2">
                  <c:v>5.516615427845397E-2</c:v>
                </c:pt>
                <c:pt idx="3">
                  <c:v>5.5292401122578612E-2</c:v>
                </c:pt>
                <c:pt idx="4">
                  <c:v>7.7044127909613444E-2</c:v>
                </c:pt>
                <c:pt idx="5">
                  <c:v>5.2035834128258053E-2</c:v>
                </c:pt>
                <c:pt idx="6">
                  <c:v>8.2027492863262649E-2</c:v>
                </c:pt>
                <c:pt idx="7">
                  <c:v>4.1431568350316243E-2</c:v>
                </c:pt>
                <c:pt idx="8">
                  <c:v>4.7670011131603483E-2</c:v>
                </c:pt>
                <c:pt idx="9">
                  <c:v>4.8053553703230112E-2</c:v>
                </c:pt>
                <c:pt idx="10">
                  <c:v>5.2725101805122271E-2</c:v>
                </c:pt>
                <c:pt idx="11">
                  <c:v>4.5040894194394769E-2</c:v>
                </c:pt>
                <c:pt idx="12">
                  <c:v>5.7225214625532983E-2</c:v>
                </c:pt>
                <c:pt idx="14">
                  <c:v>7.0584990533444941E-2</c:v>
                </c:pt>
                <c:pt idx="15">
                  <c:v>3.6970116012211722E-2</c:v>
                </c:pt>
                <c:pt idx="18">
                  <c:v>5.7970734248348962E-2</c:v>
                </c:pt>
                <c:pt idx="19">
                  <c:v>6.0315122890437042E-2</c:v>
                </c:pt>
                <c:pt idx="20">
                  <c:v>6.677730487031408E-2</c:v>
                </c:pt>
                <c:pt idx="21">
                  <c:v>6.2178225286365837E-2</c:v>
                </c:pt>
                <c:pt idx="22">
                  <c:v>8.100283574510396E-2</c:v>
                </c:pt>
                <c:pt idx="23">
                  <c:v>2.0904421034430822E-2</c:v>
                </c:pt>
                <c:pt idx="24">
                  <c:v>3.3069259318991823E-2</c:v>
                </c:pt>
                <c:pt idx="25">
                  <c:v>3.1914094541075633E-2</c:v>
                </c:pt>
                <c:pt idx="26">
                  <c:v>2.8637400407671883E-2</c:v>
                </c:pt>
                <c:pt idx="27">
                  <c:v>3.8282692468812898E-2</c:v>
                </c:pt>
                <c:pt idx="28">
                  <c:v>9.7766217058401869E-2</c:v>
                </c:pt>
                <c:pt idx="29">
                  <c:v>9.426627203685034E-2</c:v>
                </c:pt>
              </c:numCache>
            </c:numRef>
          </c:yVal>
          <c:smooth val="0"/>
          <c:extLst>
            <c:ext xmlns:c16="http://schemas.microsoft.com/office/drawing/2014/chart" uri="{C3380CC4-5D6E-409C-BE32-E72D297353CC}">
              <c16:uniqueId val="{00000003-E947-4DD2-8C31-4652B3355B8D}"/>
            </c:ext>
          </c:extLst>
        </c:ser>
        <c:ser>
          <c:idx val="8"/>
          <c:order val="4"/>
          <c:tx>
            <c:v>Pipe 3 Smooth</c:v>
          </c:tx>
          <c:spPr>
            <a:ln w="25400" cap="rnd">
              <a:noFill/>
              <a:round/>
            </a:ln>
            <a:effectLst/>
          </c:spPr>
          <c:marker>
            <c:symbol val="circle"/>
            <c:size val="7"/>
            <c:spPr>
              <a:noFill/>
              <a:ln w="15875">
                <a:solidFill>
                  <a:schemeClr val="accent2"/>
                </a:solidFill>
              </a:ln>
              <a:effectLst/>
            </c:spPr>
          </c:marker>
          <c:xVal>
            <c:numRef>
              <c:f>m!$DU$113:$DX$113</c:f>
              <c:numCache>
                <c:formatCode>General</c:formatCode>
                <c:ptCount val="4"/>
                <c:pt idx="1">
                  <c:v>1.7837144790753334E-2</c:v>
                </c:pt>
              </c:numCache>
            </c:numRef>
          </c:xVal>
          <c:yVal>
            <c:numRef>
              <c:f>m!$DU$108:$DX$108</c:f>
              <c:numCache>
                <c:formatCode>General</c:formatCode>
                <c:ptCount val="4"/>
                <c:pt idx="1">
                  <c:v>3.4701885708545627E-2</c:v>
                </c:pt>
              </c:numCache>
            </c:numRef>
          </c:yVal>
          <c:smooth val="0"/>
          <c:extLst>
            <c:ext xmlns:c16="http://schemas.microsoft.com/office/drawing/2014/chart" uri="{C3380CC4-5D6E-409C-BE32-E72D297353CC}">
              <c16:uniqueId val="{00000004-E947-4DD2-8C31-4652B3355B8D}"/>
            </c:ext>
          </c:extLst>
        </c:ser>
        <c:ser>
          <c:idx val="10"/>
          <c:order val="5"/>
          <c:tx>
            <c:v>Pipe 3 Rough</c:v>
          </c:tx>
          <c:spPr>
            <a:ln w="25400" cap="rnd">
              <a:noFill/>
              <a:round/>
            </a:ln>
            <a:effectLst/>
          </c:spPr>
          <c:marker>
            <c:symbol val="circle"/>
            <c:size val="5"/>
            <c:spPr>
              <a:noFill/>
              <a:ln w="19050">
                <a:solidFill>
                  <a:schemeClr val="accent4"/>
                </a:solidFill>
              </a:ln>
              <a:effectLst/>
            </c:spPr>
          </c:marker>
          <c:xVal>
            <c:numRef>
              <c:f>m!$DY$113:$EL$113</c:f>
              <c:numCache>
                <c:formatCode>General</c:formatCode>
                <c:ptCount val="14"/>
                <c:pt idx="0">
                  <c:v>5.2163319533422049E-3</c:v>
                </c:pt>
                <c:pt idx="1">
                  <c:v>1.8402970826219122E-2</c:v>
                </c:pt>
                <c:pt idx="2">
                  <c:v>2.4981011313985741E-2</c:v>
                </c:pt>
                <c:pt idx="3">
                  <c:v>2.8792638687945994E-2</c:v>
                </c:pt>
                <c:pt idx="4">
                  <c:v>3.4999624097361993E-2</c:v>
                </c:pt>
                <c:pt idx="5">
                  <c:v>3.8119965430489296E-2</c:v>
                </c:pt>
                <c:pt idx="6">
                  <c:v>3.8675404732699759E-2</c:v>
                </c:pt>
                <c:pt idx="7">
                  <c:v>4.5356395650674203E-2</c:v>
                </c:pt>
                <c:pt idx="8">
                  <c:v>6.5872699414137134E-2</c:v>
                </c:pt>
                <c:pt idx="10">
                  <c:v>6.9037399392285564E-2</c:v>
                </c:pt>
                <c:pt idx="11">
                  <c:v>6.0546773524286855E-2</c:v>
                </c:pt>
                <c:pt idx="13">
                  <c:v>7.6954740125918089E-2</c:v>
                </c:pt>
              </c:numCache>
            </c:numRef>
          </c:xVal>
          <c:yVal>
            <c:numRef>
              <c:f>m!$DY$108:$EL$108</c:f>
              <c:numCache>
                <c:formatCode>General</c:formatCode>
                <c:ptCount val="14"/>
                <c:pt idx="0">
                  <c:v>7.3611442375323809E-3</c:v>
                </c:pt>
                <c:pt idx="1">
                  <c:v>2.6091740046309493E-2</c:v>
                </c:pt>
                <c:pt idx="2">
                  <c:v>3.778811234889904E-2</c:v>
                </c:pt>
                <c:pt idx="3">
                  <c:v>5.4753313669653358E-2</c:v>
                </c:pt>
                <c:pt idx="4">
                  <c:v>8.5520650363639317E-2</c:v>
                </c:pt>
                <c:pt idx="5">
                  <c:v>7.6785584231706686E-2</c:v>
                </c:pt>
                <c:pt idx="6">
                  <c:v>8.2128328687384108E-2</c:v>
                </c:pt>
                <c:pt idx="7">
                  <c:v>6.8312466799255123E-2</c:v>
                </c:pt>
                <c:pt idx="8">
                  <c:v>8.6732767769770749E-2</c:v>
                </c:pt>
                <c:pt idx="10">
                  <c:v>5.9843868532745814E-2</c:v>
                </c:pt>
                <c:pt idx="11">
                  <c:v>7.8612789245365633E-2</c:v>
                </c:pt>
                <c:pt idx="13">
                  <c:v>9.6173840146222433E-2</c:v>
                </c:pt>
              </c:numCache>
            </c:numRef>
          </c:yVal>
          <c:smooth val="0"/>
          <c:extLst>
            <c:ext xmlns:c16="http://schemas.microsoft.com/office/drawing/2014/chart" uri="{C3380CC4-5D6E-409C-BE32-E72D297353CC}">
              <c16:uniqueId val="{00000005-E947-4DD2-8C31-4652B3355B8D}"/>
            </c:ext>
          </c:extLst>
        </c:ser>
        <c:dLbls>
          <c:showLegendKey val="0"/>
          <c:showVal val="0"/>
          <c:showCatName val="0"/>
          <c:showSerName val="0"/>
          <c:showPercent val="0"/>
          <c:showBubbleSize val="0"/>
        </c:dLbls>
        <c:axId val="624399680"/>
        <c:axId val="624400008"/>
        <c:extLst/>
      </c:scatterChart>
      <c:valAx>
        <c:axId val="624399680"/>
        <c:scaling>
          <c:logBase val="10"/>
          <c:orientation val="minMax"/>
          <c:max val="9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Arial"/>
                    <a:ea typeface="Arial"/>
                    <a:cs typeface="Arial"/>
                  </a:defRPr>
                </a:pPr>
                <a:r>
                  <a:rPr lang="en-US" sz="1600" b="0" i="0" u="none" strike="noStrike" baseline="0">
                    <a:effectLst/>
                  </a:rPr>
                  <a:t>Relative Error due to Geometric Nonlinearity in Dynamic Response, ψ</a:t>
                </a:r>
                <a:r>
                  <a:rPr lang="en-US" sz="1600" b="0" i="0" u="none" strike="noStrike" baseline="-25000">
                    <a:effectLst/>
                  </a:rPr>
                  <a:t>nl</a:t>
                </a:r>
                <a:r>
                  <a:rPr lang="en-US" sz="1600" b="0" i="0" u="none" strike="noStrike" baseline="0">
                    <a:effectLst/>
                  </a:rPr>
                  <a:t> </a:t>
                </a:r>
                <a:endParaRPr lang="en-US" sz="1600">
                  <a:effectLst/>
                </a:endParaRPr>
              </a:p>
            </c:rich>
          </c:tx>
          <c:layout>
            <c:manualLayout>
              <c:xMode val="edge"/>
              <c:yMode val="edge"/>
              <c:x val="9.9956270073920231E-2"/>
              <c:y val="0.94436847103513766"/>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At val="1.0000000000000002E-3"/>
        <c:crossBetween val="midCat"/>
      </c:valAx>
      <c:valAx>
        <c:axId val="624400008"/>
        <c:scaling>
          <c:logBase val="10"/>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Dynamic Axial Force Ratio,  ψ</a:t>
                </a:r>
                <a:r>
                  <a:rPr lang="en-US" sz="1400" b="0" i="0" u="none" strike="noStrike" baseline="-25000">
                    <a:effectLst/>
                  </a:rPr>
                  <a:t>N</a:t>
                </a:r>
                <a:r>
                  <a:rPr lang="en-US" sz="1400" b="0" i="0" u="none" strike="noStrike" baseline="0">
                    <a:effectLst/>
                  </a:rPr>
                  <a:t> = da(N)/N</a:t>
                </a:r>
                <a:r>
                  <a:rPr lang="en-US" sz="1400" b="0" i="0" u="none" strike="noStrike" baseline="-25000">
                    <a:effectLst/>
                  </a:rPr>
                  <a:t>seq</a:t>
                </a:r>
                <a:r>
                  <a:rPr lang="en-US" sz="1400" b="0" i="0" u="none" strike="noStrike" baseline="0">
                    <a:effectLst/>
                  </a:rPr>
                  <a:t> </a:t>
                </a:r>
                <a:endParaRPr lang="en-US" sz="1400">
                  <a:effectLst/>
                </a:endParaRPr>
              </a:p>
            </c:rich>
          </c:tx>
          <c:layout>
            <c:manualLayout>
              <c:xMode val="edge"/>
              <c:yMode val="edge"/>
              <c:x val="7.2221857075878857E-3"/>
              <c:y val="0.14230761753071464"/>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minorUnit val="0.5"/>
      </c:valAx>
      <c:spPr>
        <a:noFill/>
        <a:ln w="12700">
          <a:solidFill>
            <a:srgbClr val="808080"/>
          </a:solidFill>
          <a:prstDash val="solid"/>
        </a:ln>
        <a:effectLst/>
      </c:spPr>
    </c:plotArea>
    <c:legend>
      <c:legendPos val="r"/>
      <c:layout>
        <c:manualLayout>
          <c:xMode val="edge"/>
          <c:yMode val="edge"/>
          <c:x val="0.77911502561743862"/>
          <c:y val="3.8523752906955006E-2"/>
          <c:w val="0.13559291732940729"/>
          <c:h val="0.28563220195766126"/>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6"/>
          <c:order val="0"/>
          <c:tx>
            <c:v>Ormen Lange</c:v>
          </c:tx>
          <c:spPr>
            <a:ln w="25400" cap="rnd">
              <a:noFill/>
              <a:round/>
            </a:ln>
            <a:effectLst/>
          </c:spPr>
          <c:marker>
            <c:symbol val="circle"/>
            <c:size val="7"/>
            <c:spPr>
              <a:noFill/>
              <a:ln w="15875">
                <a:solidFill>
                  <a:schemeClr val="tx1"/>
                </a:solidFill>
              </a:ln>
              <a:effectLst/>
            </c:spPr>
          </c:marker>
          <c:xVal>
            <c:numRef>
              <c:f>m!$AF$115:$AO$115</c:f>
              <c:numCache>
                <c:formatCode>General</c:formatCode>
                <c:ptCount val="10"/>
                <c:pt idx="6">
                  <c:v>2.542277898540422E-2</c:v>
                </c:pt>
                <c:pt idx="7">
                  <c:v>2.877611030299642E-2</c:v>
                </c:pt>
                <c:pt idx="8">
                  <c:v>3.1805617609544853E-2</c:v>
                </c:pt>
                <c:pt idx="9">
                  <c:v>3.5304080228818147E-2</c:v>
                </c:pt>
              </c:numCache>
            </c:numRef>
          </c:xVal>
          <c:yVal>
            <c:numRef>
              <c:f>m!$AF$108:$AO$108</c:f>
              <c:numCache>
                <c:formatCode>General</c:formatCode>
                <c:ptCount val="10"/>
                <c:pt idx="6">
                  <c:v>8.7961764939928064E-2</c:v>
                </c:pt>
                <c:pt idx="7">
                  <c:v>8.5104610660634725E-2</c:v>
                </c:pt>
                <c:pt idx="8">
                  <c:v>7.4427376085370658E-2</c:v>
                </c:pt>
                <c:pt idx="9">
                  <c:v>3.9378729208722991E-2</c:v>
                </c:pt>
              </c:numCache>
            </c:numRef>
          </c:yVal>
          <c:smooth val="0"/>
          <c:extLst>
            <c:ext xmlns:c16="http://schemas.microsoft.com/office/drawing/2014/chart" uri="{C3380CC4-5D6E-409C-BE32-E72D297353CC}">
              <c16:uniqueId val="{00000000-C91E-4557-A41D-451D4EFFD319}"/>
            </c:ext>
          </c:extLst>
        </c:ser>
        <c:ser>
          <c:idx val="7"/>
          <c:order val="1"/>
          <c:tx>
            <c:v>ExxonMobil</c:v>
          </c:tx>
          <c:spPr>
            <a:ln w="25400" cap="rnd">
              <a:noFill/>
              <a:round/>
            </a:ln>
            <a:effectLst/>
          </c:spPr>
          <c:marker>
            <c:symbol val="circle"/>
            <c:size val="7"/>
            <c:spPr>
              <a:noFill/>
              <a:ln w="15875">
                <a:solidFill>
                  <a:schemeClr val="accent3"/>
                </a:solidFill>
              </a:ln>
              <a:effectLst/>
            </c:spPr>
          </c:marker>
          <c:xVal>
            <c:numRef>
              <c:f>m!$AP$115:$BL$115</c:f>
              <c:numCache>
                <c:formatCode>General</c:formatCode>
                <c:ptCount val="23"/>
                <c:pt idx="0">
                  <c:v>3.8454470077742331E-2</c:v>
                </c:pt>
                <c:pt idx="1">
                  <c:v>5.475967279407546E-2</c:v>
                </c:pt>
                <c:pt idx="2">
                  <c:v>8.1233507542518305E-2</c:v>
                </c:pt>
                <c:pt idx="3">
                  <c:v>0.1068990318800089</c:v>
                </c:pt>
                <c:pt idx="4">
                  <c:v>0.13300447201852222</c:v>
                </c:pt>
                <c:pt idx="6">
                  <c:v>0.18482502094505188</c:v>
                </c:pt>
                <c:pt idx="12">
                  <c:v>0.310862178769852</c:v>
                </c:pt>
                <c:pt idx="19">
                  <c:v>4.7090779418052633E-2</c:v>
                </c:pt>
                <c:pt idx="20">
                  <c:v>6.8114087230355613E-2</c:v>
                </c:pt>
                <c:pt idx="21">
                  <c:v>5.5136089005367227E-2</c:v>
                </c:pt>
              </c:numCache>
            </c:numRef>
          </c:xVal>
          <c:yVal>
            <c:numRef>
              <c:f>m!$AP$108:$BL$108</c:f>
              <c:numCache>
                <c:formatCode>General</c:formatCode>
                <c:ptCount val="23"/>
                <c:pt idx="0">
                  <c:v>1.4392232051287623E-2</c:v>
                </c:pt>
                <c:pt idx="1">
                  <c:v>2.4172187650910226E-2</c:v>
                </c:pt>
                <c:pt idx="2">
                  <c:v>9.2210546927829679E-2</c:v>
                </c:pt>
                <c:pt idx="3">
                  <c:v>6.4001701116943643E-2</c:v>
                </c:pt>
                <c:pt idx="4">
                  <c:v>8.2784316886471948E-2</c:v>
                </c:pt>
                <c:pt idx="6">
                  <c:v>8.4808240598231471E-2</c:v>
                </c:pt>
                <c:pt idx="12">
                  <c:v>7.3798334780909872E-2</c:v>
                </c:pt>
                <c:pt idx="19">
                  <c:v>1.5940907564513371E-2</c:v>
                </c:pt>
                <c:pt idx="20">
                  <c:v>3.5270871566977578E-2</c:v>
                </c:pt>
                <c:pt idx="21">
                  <c:v>2.8509755247130571E-2</c:v>
                </c:pt>
              </c:numCache>
            </c:numRef>
          </c:yVal>
          <c:smooth val="0"/>
          <c:extLst>
            <c:ext xmlns:c16="http://schemas.microsoft.com/office/drawing/2014/chart" uri="{C3380CC4-5D6E-409C-BE32-E72D297353CC}">
              <c16:uniqueId val="{00000001-C91E-4557-A41D-451D4EFFD319}"/>
            </c:ext>
          </c:extLst>
        </c:ser>
        <c:ser>
          <c:idx val="12"/>
          <c:order val="2"/>
          <c:tx>
            <c:v>Pipe 1</c:v>
          </c:tx>
          <c:spPr>
            <a:ln w="25400" cap="rnd">
              <a:noFill/>
              <a:round/>
            </a:ln>
            <a:effectLst/>
          </c:spPr>
          <c:marker>
            <c:symbol val="circle"/>
            <c:size val="8"/>
            <c:spPr>
              <a:noFill/>
              <a:ln w="15875">
                <a:solidFill>
                  <a:schemeClr val="accent6"/>
                </a:solidFill>
              </a:ln>
              <a:effectLst/>
            </c:spPr>
          </c:marker>
          <c:xVal>
            <c:numRef>
              <c:f>m!$BM$115:$CO$115</c:f>
              <c:numCache>
                <c:formatCode>General</c:formatCode>
                <c:ptCount val="29"/>
                <c:pt idx="0">
                  <c:v>0.31472065943861044</c:v>
                </c:pt>
                <c:pt idx="1">
                  <c:v>0.64831922641010808</c:v>
                </c:pt>
                <c:pt idx="3">
                  <c:v>0.35140237296238364</c:v>
                </c:pt>
                <c:pt idx="4">
                  <c:v>0.42165607447406339</c:v>
                </c:pt>
                <c:pt idx="5">
                  <c:v>0.49179058935614095</c:v>
                </c:pt>
                <c:pt idx="6">
                  <c:v>0.5622433116293214</c:v>
                </c:pt>
                <c:pt idx="7">
                  <c:v>0.63229803419937047</c:v>
                </c:pt>
                <c:pt idx="8">
                  <c:v>0.70269651610111439</c:v>
                </c:pt>
                <c:pt idx="9">
                  <c:v>0.7730272498134001</c:v>
                </c:pt>
                <c:pt idx="10">
                  <c:v>0.91356225395098345</c:v>
                </c:pt>
                <c:pt idx="11">
                  <c:v>0.98381771189720457</c:v>
                </c:pt>
                <c:pt idx="12">
                  <c:v>1.0541255283207107</c:v>
                </c:pt>
                <c:pt idx="13">
                  <c:v>0.35147932152324962</c:v>
                </c:pt>
                <c:pt idx="14">
                  <c:v>0.70287031948098333</c:v>
                </c:pt>
                <c:pt idx="15">
                  <c:v>0.68521597770560549</c:v>
                </c:pt>
                <c:pt idx="16">
                  <c:v>1.0370326601204345</c:v>
                </c:pt>
                <c:pt idx="17">
                  <c:v>1.1244149440014013</c:v>
                </c:pt>
                <c:pt idx="18">
                  <c:v>1.1946062502669874</c:v>
                </c:pt>
                <c:pt idx="19">
                  <c:v>1.2649229325029412</c:v>
                </c:pt>
              </c:numCache>
            </c:numRef>
          </c:xVal>
          <c:yVal>
            <c:numRef>
              <c:f>m!$BM$108:$CO$108</c:f>
              <c:numCache>
                <c:formatCode>General</c:formatCode>
                <c:ptCount val="29"/>
                <c:pt idx="0">
                  <c:v>4.6853564507019947E-2</c:v>
                </c:pt>
                <c:pt idx="1">
                  <c:v>6.8110864550080599E-2</c:v>
                </c:pt>
                <c:pt idx="3">
                  <c:v>2.1488405051508393E-2</c:v>
                </c:pt>
                <c:pt idx="4">
                  <c:v>3.1048324645168823E-2</c:v>
                </c:pt>
                <c:pt idx="5">
                  <c:v>3.8555378419901649E-2</c:v>
                </c:pt>
                <c:pt idx="6">
                  <c:v>5.3872203639017194E-2</c:v>
                </c:pt>
                <c:pt idx="7">
                  <c:v>6.6044804160853898E-2</c:v>
                </c:pt>
                <c:pt idx="8">
                  <c:v>6.8237712990611404E-2</c:v>
                </c:pt>
                <c:pt idx="9">
                  <c:v>6.6551964228173111E-2</c:v>
                </c:pt>
                <c:pt idx="10">
                  <c:v>6.7762351100982429E-2</c:v>
                </c:pt>
                <c:pt idx="11">
                  <c:v>7.8986671191811186E-2</c:v>
                </c:pt>
                <c:pt idx="12">
                  <c:v>8.4386209320913563E-2</c:v>
                </c:pt>
                <c:pt idx="13">
                  <c:v>3.7819627836849154E-2</c:v>
                </c:pt>
                <c:pt idx="14">
                  <c:v>6.1377704783325264E-2</c:v>
                </c:pt>
                <c:pt idx="15">
                  <c:v>5.7940318497491594E-2</c:v>
                </c:pt>
                <c:pt idx="16">
                  <c:v>8.4038381126712469E-2</c:v>
                </c:pt>
                <c:pt idx="17">
                  <c:v>8.7501666903431669E-2</c:v>
                </c:pt>
                <c:pt idx="18">
                  <c:v>7.9839734111066402E-2</c:v>
                </c:pt>
                <c:pt idx="19">
                  <c:v>8.0748563737711304E-2</c:v>
                </c:pt>
              </c:numCache>
            </c:numRef>
          </c:yVal>
          <c:smooth val="0"/>
          <c:extLst>
            <c:ext xmlns:c16="http://schemas.microsoft.com/office/drawing/2014/chart" uri="{C3380CC4-5D6E-409C-BE32-E72D297353CC}">
              <c16:uniqueId val="{00000002-C91E-4557-A41D-451D4EFFD319}"/>
            </c:ext>
          </c:extLst>
        </c:ser>
        <c:ser>
          <c:idx val="14"/>
          <c:order val="3"/>
          <c:tx>
            <c:v>Pipe 2</c:v>
          </c:tx>
          <c:spPr>
            <a:ln w="25400" cap="rnd">
              <a:noFill/>
              <a:round/>
            </a:ln>
            <a:effectLst/>
          </c:spPr>
          <c:marker>
            <c:symbol val="circle"/>
            <c:size val="7"/>
            <c:spPr>
              <a:noFill/>
              <a:ln w="15875">
                <a:solidFill>
                  <a:srgbClr val="00B0F0"/>
                </a:solidFill>
              </a:ln>
              <a:effectLst/>
            </c:spPr>
          </c:marker>
          <c:xVal>
            <c:numRef>
              <c:f>m!$CP$115:$DT$115</c:f>
              <c:numCache>
                <c:formatCode>General</c:formatCode>
                <c:ptCount val="31"/>
                <c:pt idx="0">
                  <c:v>0.15137629508782466</c:v>
                </c:pt>
                <c:pt idx="1">
                  <c:v>0.18922888986966163</c:v>
                </c:pt>
                <c:pt idx="2">
                  <c:v>0.22716083391694958</c:v>
                </c:pt>
                <c:pt idx="3">
                  <c:v>0.26487104591723021</c:v>
                </c:pt>
                <c:pt idx="4">
                  <c:v>0.30274959501393373</c:v>
                </c:pt>
                <c:pt idx="5">
                  <c:v>0.34061605086371027</c:v>
                </c:pt>
                <c:pt idx="6">
                  <c:v>0.37837913985427862</c:v>
                </c:pt>
                <c:pt idx="7">
                  <c:v>0.41630964262074099</c:v>
                </c:pt>
                <c:pt idx="8">
                  <c:v>0.45408214497670135</c:v>
                </c:pt>
                <c:pt idx="9">
                  <c:v>0.4920403023190042</c:v>
                </c:pt>
                <c:pt idx="10">
                  <c:v>0.52977082737092007</c:v>
                </c:pt>
                <c:pt idx="11">
                  <c:v>0.56770259125810485</c:v>
                </c:pt>
                <c:pt idx="12">
                  <c:v>0.60540992069673427</c:v>
                </c:pt>
                <c:pt idx="14">
                  <c:v>0.60539411164767898</c:v>
                </c:pt>
                <c:pt idx="15">
                  <c:v>0.11352731476805805</c:v>
                </c:pt>
                <c:pt idx="18">
                  <c:v>0.64338348172786031</c:v>
                </c:pt>
                <c:pt idx="19">
                  <c:v>0.71914287696258317</c:v>
                </c:pt>
                <c:pt idx="20">
                  <c:v>0.79464964269260063</c:v>
                </c:pt>
                <c:pt idx="21">
                  <c:v>0.87058496426809329</c:v>
                </c:pt>
                <c:pt idx="22">
                  <c:v>0.94656829851108759</c:v>
                </c:pt>
                <c:pt idx="23">
                  <c:v>7.5680535779552346E-2</c:v>
                </c:pt>
                <c:pt idx="24">
                  <c:v>0.11354057905565579</c:v>
                </c:pt>
                <c:pt idx="25">
                  <c:v>9.0857037082600442E-2</c:v>
                </c:pt>
                <c:pt idx="26">
                  <c:v>0.13625511982646715</c:v>
                </c:pt>
                <c:pt idx="27">
                  <c:v>0.10596009499358042</c:v>
                </c:pt>
                <c:pt idx="28">
                  <c:v>0.56763268913806508</c:v>
                </c:pt>
                <c:pt idx="29">
                  <c:v>0.68121584227810716</c:v>
                </c:pt>
              </c:numCache>
            </c:numRef>
          </c:xVal>
          <c:yVal>
            <c:numRef>
              <c:f>m!$CP$108:$DT$108</c:f>
              <c:numCache>
                <c:formatCode>General</c:formatCode>
                <c:ptCount val="31"/>
                <c:pt idx="0">
                  <c:v>4.3297773300129433E-2</c:v>
                </c:pt>
                <c:pt idx="1">
                  <c:v>6.6130935534151197E-2</c:v>
                </c:pt>
                <c:pt idx="2">
                  <c:v>5.516615427845397E-2</c:v>
                </c:pt>
                <c:pt idx="3">
                  <c:v>5.5292401122578612E-2</c:v>
                </c:pt>
                <c:pt idx="4">
                  <c:v>7.7044127909613444E-2</c:v>
                </c:pt>
                <c:pt idx="5">
                  <c:v>5.2035834128258053E-2</c:v>
                </c:pt>
                <c:pt idx="6">
                  <c:v>8.2027492863262649E-2</c:v>
                </c:pt>
                <c:pt idx="7">
                  <c:v>4.1431568350316243E-2</c:v>
                </c:pt>
                <c:pt idx="8">
                  <c:v>4.7670011131603483E-2</c:v>
                </c:pt>
                <c:pt idx="9">
                  <c:v>4.8053553703230112E-2</c:v>
                </c:pt>
                <c:pt idx="10">
                  <c:v>5.2725101805122271E-2</c:v>
                </c:pt>
                <c:pt idx="11">
                  <c:v>4.5040894194394769E-2</c:v>
                </c:pt>
                <c:pt idx="12">
                  <c:v>5.7225214625532983E-2</c:v>
                </c:pt>
                <c:pt idx="14">
                  <c:v>7.0584990533444941E-2</c:v>
                </c:pt>
                <c:pt idx="15">
                  <c:v>3.6970116012211722E-2</c:v>
                </c:pt>
                <c:pt idx="18">
                  <c:v>5.7970734248348962E-2</c:v>
                </c:pt>
                <c:pt idx="19">
                  <c:v>6.0315122890437042E-2</c:v>
                </c:pt>
                <c:pt idx="20">
                  <c:v>6.677730487031408E-2</c:v>
                </c:pt>
                <c:pt idx="21">
                  <c:v>6.2178225286365837E-2</c:v>
                </c:pt>
                <c:pt idx="22">
                  <c:v>8.100283574510396E-2</c:v>
                </c:pt>
                <c:pt idx="23">
                  <c:v>2.0904421034430822E-2</c:v>
                </c:pt>
                <c:pt idx="24">
                  <c:v>3.3069259318991823E-2</c:v>
                </c:pt>
                <c:pt idx="25">
                  <c:v>3.1914094541075633E-2</c:v>
                </c:pt>
                <c:pt idx="26">
                  <c:v>2.8637400407671883E-2</c:v>
                </c:pt>
                <c:pt idx="27">
                  <c:v>3.8282692468812898E-2</c:v>
                </c:pt>
                <c:pt idx="28">
                  <c:v>9.7766217058401869E-2</c:v>
                </c:pt>
                <c:pt idx="29">
                  <c:v>9.426627203685034E-2</c:v>
                </c:pt>
              </c:numCache>
            </c:numRef>
          </c:yVal>
          <c:smooth val="0"/>
          <c:extLst>
            <c:ext xmlns:c16="http://schemas.microsoft.com/office/drawing/2014/chart" uri="{C3380CC4-5D6E-409C-BE32-E72D297353CC}">
              <c16:uniqueId val="{00000003-C91E-4557-A41D-451D4EFFD319}"/>
            </c:ext>
          </c:extLst>
        </c:ser>
        <c:ser>
          <c:idx val="8"/>
          <c:order val="4"/>
          <c:tx>
            <c:v>Pipe 3 Smooth</c:v>
          </c:tx>
          <c:spPr>
            <a:ln w="25400" cap="rnd">
              <a:noFill/>
              <a:round/>
            </a:ln>
            <a:effectLst/>
          </c:spPr>
          <c:marker>
            <c:symbol val="circle"/>
            <c:size val="7"/>
            <c:spPr>
              <a:noFill/>
              <a:ln w="15875">
                <a:solidFill>
                  <a:schemeClr val="accent2"/>
                </a:solidFill>
              </a:ln>
              <a:effectLst/>
            </c:spPr>
          </c:marker>
          <c:xVal>
            <c:numRef>
              <c:f>m!$DU$115:$DX$115</c:f>
              <c:numCache>
                <c:formatCode>General</c:formatCode>
                <c:ptCount val="4"/>
                <c:pt idx="1">
                  <c:v>0.16255738756844693</c:v>
                </c:pt>
              </c:numCache>
            </c:numRef>
          </c:xVal>
          <c:yVal>
            <c:numRef>
              <c:f>m!$DU$108:$DX$108</c:f>
              <c:numCache>
                <c:formatCode>General</c:formatCode>
                <c:ptCount val="4"/>
                <c:pt idx="1">
                  <c:v>3.4701885708545627E-2</c:v>
                </c:pt>
              </c:numCache>
            </c:numRef>
          </c:yVal>
          <c:smooth val="0"/>
          <c:extLst>
            <c:ext xmlns:c16="http://schemas.microsoft.com/office/drawing/2014/chart" uri="{C3380CC4-5D6E-409C-BE32-E72D297353CC}">
              <c16:uniqueId val="{00000004-C91E-4557-A41D-451D4EFFD319}"/>
            </c:ext>
          </c:extLst>
        </c:ser>
        <c:ser>
          <c:idx val="10"/>
          <c:order val="5"/>
          <c:tx>
            <c:v>Pipe 3 Rough</c:v>
          </c:tx>
          <c:spPr>
            <a:ln w="25400" cap="rnd">
              <a:noFill/>
              <a:round/>
            </a:ln>
            <a:effectLst/>
          </c:spPr>
          <c:marker>
            <c:symbol val="circle"/>
            <c:size val="5"/>
            <c:spPr>
              <a:noFill/>
              <a:ln w="19050">
                <a:solidFill>
                  <a:schemeClr val="accent4"/>
                </a:solidFill>
              </a:ln>
              <a:effectLst/>
            </c:spPr>
          </c:marker>
          <c:xVal>
            <c:numRef>
              <c:f>m!$DY$115:$EL$115</c:f>
              <c:numCache>
                <c:formatCode>General</c:formatCode>
                <c:ptCount val="14"/>
                <c:pt idx="0">
                  <c:v>8.1280125178106469E-2</c:v>
                </c:pt>
                <c:pt idx="1">
                  <c:v>0.16252382718483896</c:v>
                </c:pt>
                <c:pt idx="2">
                  <c:v>0.1950210333146517</c:v>
                </c:pt>
                <c:pt idx="3">
                  <c:v>0.22757123970445631</c:v>
                </c:pt>
                <c:pt idx="4">
                  <c:v>0.26008442328490894</c:v>
                </c:pt>
                <c:pt idx="5">
                  <c:v>0.29253114376560535</c:v>
                </c:pt>
                <c:pt idx="6">
                  <c:v>0.32513106207810305</c:v>
                </c:pt>
                <c:pt idx="7">
                  <c:v>0.35759844105429994</c:v>
                </c:pt>
                <c:pt idx="8">
                  <c:v>0.35765720557614494</c:v>
                </c:pt>
                <c:pt idx="10">
                  <c:v>0.48766053746583166</c:v>
                </c:pt>
                <c:pt idx="11">
                  <c:v>0.52003711964626154</c:v>
                </c:pt>
                <c:pt idx="13">
                  <c:v>0.39003943595946439</c:v>
                </c:pt>
              </c:numCache>
            </c:numRef>
          </c:xVal>
          <c:yVal>
            <c:numRef>
              <c:f>m!$DY$108:$EL$108</c:f>
              <c:numCache>
                <c:formatCode>General</c:formatCode>
                <c:ptCount val="14"/>
                <c:pt idx="0">
                  <c:v>7.3611442375323809E-3</c:v>
                </c:pt>
                <c:pt idx="1">
                  <c:v>2.6091740046309493E-2</c:v>
                </c:pt>
                <c:pt idx="2">
                  <c:v>3.778811234889904E-2</c:v>
                </c:pt>
                <c:pt idx="3">
                  <c:v>5.4753313669653358E-2</c:v>
                </c:pt>
                <c:pt idx="4">
                  <c:v>8.5520650363639317E-2</c:v>
                </c:pt>
                <c:pt idx="5">
                  <c:v>7.6785584231706686E-2</c:v>
                </c:pt>
                <c:pt idx="6">
                  <c:v>8.2128328687384108E-2</c:v>
                </c:pt>
                <c:pt idx="7">
                  <c:v>6.8312466799255123E-2</c:v>
                </c:pt>
                <c:pt idx="8">
                  <c:v>8.6732767769770749E-2</c:v>
                </c:pt>
                <c:pt idx="10">
                  <c:v>5.9843868532745814E-2</c:v>
                </c:pt>
                <c:pt idx="11">
                  <c:v>7.8612789245365633E-2</c:v>
                </c:pt>
                <c:pt idx="13">
                  <c:v>9.6173840146222433E-2</c:v>
                </c:pt>
              </c:numCache>
            </c:numRef>
          </c:yVal>
          <c:smooth val="0"/>
          <c:extLst>
            <c:ext xmlns:c16="http://schemas.microsoft.com/office/drawing/2014/chart" uri="{C3380CC4-5D6E-409C-BE32-E72D297353CC}">
              <c16:uniqueId val="{00000005-C91E-4557-A41D-451D4EFFD319}"/>
            </c:ext>
          </c:extLst>
        </c:ser>
        <c:dLbls>
          <c:showLegendKey val="0"/>
          <c:showVal val="0"/>
          <c:showCatName val="0"/>
          <c:showSerName val="0"/>
          <c:showPercent val="0"/>
          <c:showBubbleSize val="0"/>
        </c:dLbls>
        <c:axId val="624399680"/>
        <c:axId val="624400008"/>
        <c:extLst/>
      </c:scatterChart>
      <c:valAx>
        <c:axId val="624399680"/>
        <c:scaling>
          <c:logBase val="10"/>
          <c:orientation val="minMax"/>
          <c:max val="9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Arial"/>
                    <a:ea typeface="Arial"/>
                    <a:cs typeface="Arial"/>
                  </a:defRPr>
                </a:pPr>
                <a:r>
                  <a:rPr lang="en-US" sz="1600" b="0" i="0" u="none" strike="noStrike" baseline="0">
                    <a:effectLst/>
                  </a:rPr>
                  <a:t>Strouhal/Axial Frequency Ratio, ψ</a:t>
                </a:r>
                <a:r>
                  <a:rPr lang="en-US" sz="1600" b="0" i="0" u="none" strike="noStrike" baseline="-25000">
                    <a:effectLst/>
                  </a:rPr>
                  <a:t>ai1</a:t>
                </a:r>
                <a:endParaRPr lang="en-US" sz="1600">
                  <a:effectLst/>
                </a:endParaRPr>
              </a:p>
            </c:rich>
          </c:tx>
          <c:layout>
            <c:manualLayout>
              <c:xMode val="edge"/>
              <c:yMode val="edge"/>
              <c:x val="0.22683440029094862"/>
              <c:y val="0.94436847103513766"/>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At val="1.0000000000000002E-3"/>
        <c:crossBetween val="midCat"/>
      </c:valAx>
      <c:valAx>
        <c:axId val="624400008"/>
        <c:scaling>
          <c:logBase val="10"/>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Dynamic Axial Force Ratio,  ψ</a:t>
                </a:r>
                <a:r>
                  <a:rPr lang="en-US" sz="1400" b="0" i="0" u="none" strike="noStrike" baseline="-25000">
                    <a:effectLst/>
                  </a:rPr>
                  <a:t>N</a:t>
                </a:r>
                <a:r>
                  <a:rPr lang="en-US" sz="1400" b="0" i="0" u="none" strike="noStrike" baseline="0">
                    <a:effectLst/>
                  </a:rPr>
                  <a:t> = da(N)/N</a:t>
                </a:r>
                <a:r>
                  <a:rPr lang="en-US" sz="1400" b="0" i="0" u="none" strike="noStrike" baseline="-25000">
                    <a:effectLst/>
                  </a:rPr>
                  <a:t>seq</a:t>
                </a:r>
                <a:r>
                  <a:rPr lang="en-US" sz="1400" b="0" i="0" u="none" strike="noStrike" baseline="0">
                    <a:effectLst/>
                  </a:rPr>
                  <a:t> </a:t>
                </a:r>
                <a:endParaRPr lang="en-US" sz="1400">
                  <a:effectLst/>
                </a:endParaRPr>
              </a:p>
            </c:rich>
          </c:tx>
          <c:layout>
            <c:manualLayout>
              <c:xMode val="edge"/>
              <c:yMode val="edge"/>
              <c:x val="7.2221857075878857E-3"/>
              <c:y val="0.14230761753071464"/>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minorUnit val="0.5"/>
      </c:valAx>
      <c:spPr>
        <a:noFill/>
        <a:ln w="12700">
          <a:solidFill>
            <a:srgbClr val="808080"/>
          </a:solidFill>
          <a:prstDash val="solid"/>
        </a:ln>
        <a:effectLst/>
      </c:spPr>
    </c:plotArea>
    <c:legend>
      <c:legendPos val="r"/>
      <c:layout>
        <c:manualLayout>
          <c:xMode val="edge"/>
          <c:yMode val="edge"/>
          <c:x val="0.77911502561743862"/>
          <c:y val="3.8523752906955006E-2"/>
          <c:w val="0.13559291732940729"/>
          <c:h val="0.28563220195766126"/>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6"/>
          <c:order val="0"/>
          <c:tx>
            <c:v>Ormen Lange</c:v>
          </c:tx>
          <c:spPr>
            <a:ln w="25400" cap="rnd">
              <a:noFill/>
              <a:round/>
            </a:ln>
            <a:effectLst/>
          </c:spPr>
          <c:marker>
            <c:symbol val="circle"/>
            <c:size val="7"/>
            <c:spPr>
              <a:noFill/>
              <a:ln w="15875">
                <a:solidFill>
                  <a:schemeClr val="tx1"/>
                </a:solidFill>
              </a:ln>
              <a:effectLst/>
            </c:spPr>
          </c:marker>
          <c:xVal>
            <c:numRef>
              <c:f>m!$AF$116:$AO$116</c:f>
              <c:numCache>
                <c:formatCode>General</c:formatCode>
                <c:ptCount val="10"/>
                <c:pt idx="6">
                  <c:v>9.159471421134345E-3</c:v>
                </c:pt>
                <c:pt idx="7">
                  <c:v>1.2304433621974654E-2</c:v>
                </c:pt>
                <c:pt idx="8">
                  <c:v>1.562866077933359E-2</c:v>
                </c:pt>
                <c:pt idx="9">
                  <c:v>1.9903312746393294E-2</c:v>
                </c:pt>
              </c:numCache>
            </c:numRef>
          </c:xVal>
          <c:yVal>
            <c:numRef>
              <c:f>m!$AF$108:$AO$108</c:f>
              <c:numCache>
                <c:formatCode>General</c:formatCode>
                <c:ptCount val="10"/>
                <c:pt idx="6">
                  <c:v>8.7961764939928064E-2</c:v>
                </c:pt>
                <c:pt idx="7">
                  <c:v>8.5104610660634725E-2</c:v>
                </c:pt>
                <c:pt idx="8">
                  <c:v>7.4427376085370658E-2</c:v>
                </c:pt>
                <c:pt idx="9">
                  <c:v>3.9378729208722991E-2</c:v>
                </c:pt>
              </c:numCache>
            </c:numRef>
          </c:yVal>
          <c:smooth val="0"/>
          <c:extLst>
            <c:ext xmlns:c16="http://schemas.microsoft.com/office/drawing/2014/chart" uri="{C3380CC4-5D6E-409C-BE32-E72D297353CC}">
              <c16:uniqueId val="{00000000-94B0-44C3-87C2-FBA89209A291}"/>
            </c:ext>
          </c:extLst>
        </c:ser>
        <c:ser>
          <c:idx val="7"/>
          <c:order val="1"/>
          <c:tx>
            <c:v>ExxonMobil</c:v>
          </c:tx>
          <c:spPr>
            <a:ln w="25400" cap="rnd">
              <a:noFill/>
              <a:round/>
            </a:ln>
            <a:effectLst/>
          </c:spPr>
          <c:marker>
            <c:symbol val="circle"/>
            <c:size val="7"/>
            <c:spPr>
              <a:noFill/>
              <a:ln w="15875">
                <a:solidFill>
                  <a:schemeClr val="accent3"/>
                </a:solidFill>
              </a:ln>
              <a:effectLst/>
            </c:spPr>
          </c:marker>
          <c:xVal>
            <c:numRef>
              <c:f>m!$AP$116:$BL$116</c:f>
              <c:numCache>
                <c:formatCode>General</c:formatCode>
                <c:ptCount val="23"/>
                <c:pt idx="0">
                  <c:v>4.3532176926543202E-4</c:v>
                </c:pt>
                <c:pt idx="1">
                  <c:v>1.6735974820352064E-3</c:v>
                </c:pt>
                <c:pt idx="2">
                  <c:v>6.9940306070295421E-3</c:v>
                </c:pt>
                <c:pt idx="3">
                  <c:v>1.7920184128902159E-2</c:v>
                </c:pt>
                <c:pt idx="4">
                  <c:v>3.5947557614726365E-2</c:v>
                </c:pt>
                <c:pt idx="6">
                  <c:v>8.8508032311358786E-2</c:v>
                </c:pt>
                <c:pt idx="12">
                  <c:v>0.3357340591684066</c:v>
                </c:pt>
                <c:pt idx="19">
                  <c:v>9.6638094769529244E-4</c:v>
                </c:pt>
                <c:pt idx="20">
                  <c:v>3.841232416574184E-3</c:v>
                </c:pt>
                <c:pt idx="21">
                  <c:v>1.7719079131209466E-3</c:v>
                </c:pt>
              </c:numCache>
            </c:numRef>
          </c:xVal>
          <c:yVal>
            <c:numRef>
              <c:f>m!$AP$108:$BL$108</c:f>
              <c:numCache>
                <c:formatCode>General</c:formatCode>
                <c:ptCount val="23"/>
                <c:pt idx="0">
                  <c:v>1.4392232051287623E-2</c:v>
                </c:pt>
                <c:pt idx="1">
                  <c:v>2.4172187650910226E-2</c:v>
                </c:pt>
                <c:pt idx="2">
                  <c:v>9.2210546927829679E-2</c:v>
                </c:pt>
                <c:pt idx="3">
                  <c:v>6.4001701116943643E-2</c:v>
                </c:pt>
                <c:pt idx="4">
                  <c:v>8.2784316886471948E-2</c:v>
                </c:pt>
                <c:pt idx="6">
                  <c:v>8.4808240598231471E-2</c:v>
                </c:pt>
                <c:pt idx="12">
                  <c:v>7.3798334780909872E-2</c:v>
                </c:pt>
                <c:pt idx="19">
                  <c:v>1.5940907564513371E-2</c:v>
                </c:pt>
                <c:pt idx="20">
                  <c:v>3.5270871566977578E-2</c:v>
                </c:pt>
                <c:pt idx="21">
                  <c:v>2.8509755247130571E-2</c:v>
                </c:pt>
              </c:numCache>
            </c:numRef>
          </c:yVal>
          <c:smooth val="0"/>
          <c:extLst>
            <c:ext xmlns:c16="http://schemas.microsoft.com/office/drawing/2014/chart" uri="{C3380CC4-5D6E-409C-BE32-E72D297353CC}">
              <c16:uniqueId val="{00000001-94B0-44C3-87C2-FBA89209A291}"/>
            </c:ext>
          </c:extLst>
        </c:ser>
        <c:ser>
          <c:idx val="12"/>
          <c:order val="2"/>
          <c:tx>
            <c:v>Pipe 1</c:v>
          </c:tx>
          <c:spPr>
            <a:ln w="25400" cap="rnd">
              <a:noFill/>
              <a:round/>
            </a:ln>
            <a:effectLst/>
          </c:spPr>
          <c:marker>
            <c:symbol val="circle"/>
            <c:size val="8"/>
            <c:spPr>
              <a:noFill/>
              <a:ln w="15875">
                <a:solidFill>
                  <a:schemeClr val="accent6"/>
                </a:solidFill>
              </a:ln>
              <a:effectLst/>
            </c:spPr>
          </c:marker>
          <c:xVal>
            <c:numRef>
              <c:f>m!$BM$116:$CO$116</c:f>
              <c:numCache>
                <c:formatCode>General</c:formatCode>
                <c:ptCount val="29"/>
                <c:pt idx="0">
                  <c:v>0.21964100117301208</c:v>
                </c:pt>
                <c:pt idx="1">
                  <c:v>1.0573585895566537</c:v>
                </c:pt>
                <c:pt idx="3">
                  <c:v>8.865907770015774E-2</c:v>
                </c:pt>
                <c:pt idx="4">
                  <c:v>0.16775406115395691</c:v>
                </c:pt>
                <c:pt idx="5">
                  <c:v>0.30552471664921405</c:v>
                </c:pt>
                <c:pt idx="6">
                  <c:v>0.44009573900931581</c:v>
                </c:pt>
                <c:pt idx="7">
                  <c:v>0.59643405491107793</c:v>
                </c:pt>
                <c:pt idx="8">
                  <c:v>0.7859064463597959</c:v>
                </c:pt>
                <c:pt idx="9">
                  <c:v>1.0440378462005988</c:v>
                </c:pt>
                <c:pt idx="10">
                  <c:v>1.5172221319173158</c:v>
                </c:pt>
                <c:pt idx="11">
                  <c:v>1.7737833961640876</c:v>
                </c:pt>
                <c:pt idx="12">
                  <c:v>1.9122594371008936</c:v>
                </c:pt>
                <c:pt idx="13">
                  <c:v>9.7839964241909216E-2</c:v>
                </c:pt>
                <c:pt idx="14">
                  <c:v>0.79202530080420708</c:v>
                </c:pt>
                <c:pt idx="15">
                  <c:v>0.80423469614236642</c:v>
                </c:pt>
                <c:pt idx="16">
                  <c:v>1.9610008681225588</c:v>
                </c:pt>
                <c:pt idx="17">
                  <c:v>2.2215382573810976</c:v>
                </c:pt>
                <c:pt idx="18">
                  <c:v>2.6039993922151998</c:v>
                </c:pt>
                <c:pt idx="19">
                  <c:v>3.0076323209878808</c:v>
                </c:pt>
              </c:numCache>
            </c:numRef>
          </c:xVal>
          <c:yVal>
            <c:numRef>
              <c:f>m!$BM$108:$CO$108</c:f>
              <c:numCache>
                <c:formatCode>General</c:formatCode>
                <c:ptCount val="29"/>
                <c:pt idx="0">
                  <c:v>4.6853564507019947E-2</c:v>
                </c:pt>
                <c:pt idx="1">
                  <c:v>6.8110864550080599E-2</c:v>
                </c:pt>
                <c:pt idx="3">
                  <c:v>2.1488405051508393E-2</c:v>
                </c:pt>
                <c:pt idx="4">
                  <c:v>3.1048324645168823E-2</c:v>
                </c:pt>
                <c:pt idx="5">
                  <c:v>3.8555378419901649E-2</c:v>
                </c:pt>
                <c:pt idx="6">
                  <c:v>5.3872203639017194E-2</c:v>
                </c:pt>
                <c:pt idx="7">
                  <c:v>6.6044804160853898E-2</c:v>
                </c:pt>
                <c:pt idx="8">
                  <c:v>6.8237712990611404E-2</c:v>
                </c:pt>
                <c:pt idx="9">
                  <c:v>6.6551964228173111E-2</c:v>
                </c:pt>
                <c:pt idx="10">
                  <c:v>6.7762351100982429E-2</c:v>
                </c:pt>
                <c:pt idx="11">
                  <c:v>7.8986671191811186E-2</c:v>
                </c:pt>
                <c:pt idx="12">
                  <c:v>8.4386209320913563E-2</c:v>
                </c:pt>
                <c:pt idx="13">
                  <c:v>3.7819627836849154E-2</c:v>
                </c:pt>
                <c:pt idx="14">
                  <c:v>6.1377704783325264E-2</c:v>
                </c:pt>
                <c:pt idx="15">
                  <c:v>5.7940318497491594E-2</c:v>
                </c:pt>
                <c:pt idx="16">
                  <c:v>8.4038381126712469E-2</c:v>
                </c:pt>
                <c:pt idx="17">
                  <c:v>8.7501666903431669E-2</c:v>
                </c:pt>
                <c:pt idx="18">
                  <c:v>7.9839734111066402E-2</c:v>
                </c:pt>
                <c:pt idx="19">
                  <c:v>8.0748563737711304E-2</c:v>
                </c:pt>
              </c:numCache>
            </c:numRef>
          </c:yVal>
          <c:smooth val="0"/>
          <c:extLst>
            <c:ext xmlns:c16="http://schemas.microsoft.com/office/drawing/2014/chart" uri="{C3380CC4-5D6E-409C-BE32-E72D297353CC}">
              <c16:uniqueId val="{00000002-94B0-44C3-87C2-FBA89209A291}"/>
            </c:ext>
          </c:extLst>
        </c:ser>
        <c:ser>
          <c:idx val="14"/>
          <c:order val="3"/>
          <c:tx>
            <c:v>Pipe 2</c:v>
          </c:tx>
          <c:spPr>
            <a:ln w="25400" cap="rnd">
              <a:noFill/>
              <a:round/>
            </a:ln>
            <a:effectLst/>
          </c:spPr>
          <c:marker>
            <c:symbol val="circle"/>
            <c:size val="7"/>
            <c:spPr>
              <a:noFill/>
              <a:ln w="15875">
                <a:solidFill>
                  <a:srgbClr val="00B0F0"/>
                </a:solidFill>
              </a:ln>
              <a:effectLst/>
            </c:spPr>
          </c:marker>
          <c:xVal>
            <c:numRef>
              <c:f>m!$CP$116:$DT$116</c:f>
              <c:numCache>
                <c:formatCode>General</c:formatCode>
                <c:ptCount val="31"/>
                <c:pt idx="0">
                  <c:v>1.7973450156954836E-2</c:v>
                </c:pt>
                <c:pt idx="1">
                  <c:v>3.7815075671765917E-2</c:v>
                </c:pt>
                <c:pt idx="2">
                  <c:v>6.8343610442249583E-2</c:v>
                </c:pt>
                <c:pt idx="3">
                  <c:v>9.7142560717807358E-2</c:v>
                </c:pt>
                <c:pt idx="4">
                  <c:v>0.13720511442321795</c:v>
                </c:pt>
                <c:pt idx="5">
                  <c:v>0.19323660709632506</c:v>
                </c:pt>
                <c:pt idx="6">
                  <c:v>0.24462452314102054</c:v>
                </c:pt>
                <c:pt idx="7">
                  <c:v>0.27536769069321271</c:v>
                </c:pt>
                <c:pt idx="8">
                  <c:v>0.32241984763508624</c:v>
                </c:pt>
                <c:pt idx="9">
                  <c:v>0.41367648903987442</c:v>
                </c:pt>
                <c:pt idx="10">
                  <c:v>0.45780633070722754</c:v>
                </c:pt>
                <c:pt idx="11">
                  <c:v>0.53544075613542574</c:v>
                </c:pt>
                <c:pt idx="12">
                  <c:v>0.57422414424199064</c:v>
                </c:pt>
                <c:pt idx="14">
                  <c:v>0.58673649393143035</c:v>
                </c:pt>
                <c:pt idx="15">
                  <c:v>8.1098027952700436E-3</c:v>
                </c:pt>
                <c:pt idx="18">
                  <c:v>0.87822445379706948</c:v>
                </c:pt>
                <c:pt idx="19">
                  <c:v>1.0523623286780133</c:v>
                </c:pt>
                <c:pt idx="20">
                  <c:v>1.2341309808520879</c:v>
                </c:pt>
                <c:pt idx="21">
                  <c:v>1.4242547890003812</c:v>
                </c:pt>
                <c:pt idx="22">
                  <c:v>1.5889498437357472</c:v>
                </c:pt>
                <c:pt idx="23">
                  <c:v>1.2312565385056602E-3</c:v>
                </c:pt>
                <c:pt idx="24">
                  <c:v>5.8867899977585233E-3</c:v>
                </c:pt>
                <c:pt idx="25">
                  <c:v>2.5214135418066752E-3</c:v>
                </c:pt>
                <c:pt idx="26">
                  <c:v>1.155064261705315E-2</c:v>
                </c:pt>
                <c:pt idx="27">
                  <c:v>4.54560644894821E-3</c:v>
                </c:pt>
                <c:pt idx="28">
                  <c:v>1.1138071558024216</c:v>
                </c:pt>
                <c:pt idx="29">
                  <c:v>1.4255467557422841</c:v>
                </c:pt>
              </c:numCache>
            </c:numRef>
          </c:xVal>
          <c:yVal>
            <c:numRef>
              <c:f>m!$CP$108:$DT$108</c:f>
              <c:numCache>
                <c:formatCode>General</c:formatCode>
                <c:ptCount val="31"/>
                <c:pt idx="0">
                  <c:v>4.3297773300129433E-2</c:v>
                </c:pt>
                <c:pt idx="1">
                  <c:v>6.6130935534151197E-2</c:v>
                </c:pt>
                <c:pt idx="2">
                  <c:v>5.516615427845397E-2</c:v>
                </c:pt>
                <c:pt idx="3">
                  <c:v>5.5292401122578612E-2</c:v>
                </c:pt>
                <c:pt idx="4">
                  <c:v>7.7044127909613444E-2</c:v>
                </c:pt>
                <c:pt idx="5">
                  <c:v>5.2035834128258053E-2</c:v>
                </c:pt>
                <c:pt idx="6">
                  <c:v>8.2027492863262649E-2</c:v>
                </c:pt>
                <c:pt idx="7">
                  <c:v>4.1431568350316243E-2</c:v>
                </c:pt>
                <c:pt idx="8">
                  <c:v>4.7670011131603483E-2</c:v>
                </c:pt>
                <c:pt idx="9">
                  <c:v>4.8053553703230112E-2</c:v>
                </c:pt>
                <c:pt idx="10">
                  <c:v>5.2725101805122271E-2</c:v>
                </c:pt>
                <c:pt idx="11">
                  <c:v>4.5040894194394769E-2</c:v>
                </c:pt>
                <c:pt idx="12">
                  <c:v>5.7225214625532983E-2</c:v>
                </c:pt>
                <c:pt idx="14">
                  <c:v>7.0584990533444941E-2</c:v>
                </c:pt>
                <c:pt idx="15">
                  <c:v>3.6970116012211722E-2</c:v>
                </c:pt>
                <c:pt idx="18">
                  <c:v>5.7970734248348962E-2</c:v>
                </c:pt>
                <c:pt idx="19">
                  <c:v>6.0315122890437042E-2</c:v>
                </c:pt>
                <c:pt idx="20">
                  <c:v>6.677730487031408E-2</c:v>
                </c:pt>
                <c:pt idx="21">
                  <c:v>6.2178225286365837E-2</c:v>
                </c:pt>
                <c:pt idx="22">
                  <c:v>8.100283574510396E-2</c:v>
                </c:pt>
                <c:pt idx="23">
                  <c:v>2.0904421034430822E-2</c:v>
                </c:pt>
                <c:pt idx="24">
                  <c:v>3.3069259318991823E-2</c:v>
                </c:pt>
                <c:pt idx="25">
                  <c:v>3.1914094541075633E-2</c:v>
                </c:pt>
                <c:pt idx="26">
                  <c:v>2.8637400407671883E-2</c:v>
                </c:pt>
                <c:pt idx="27">
                  <c:v>3.8282692468812898E-2</c:v>
                </c:pt>
                <c:pt idx="28">
                  <c:v>9.7766217058401869E-2</c:v>
                </c:pt>
                <c:pt idx="29">
                  <c:v>9.426627203685034E-2</c:v>
                </c:pt>
              </c:numCache>
            </c:numRef>
          </c:yVal>
          <c:smooth val="0"/>
          <c:extLst>
            <c:ext xmlns:c16="http://schemas.microsoft.com/office/drawing/2014/chart" uri="{C3380CC4-5D6E-409C-BE32-E72D297353CC}">
              <c16:uniqueId val="{00000003-94B0-44C3-87C2-FBA89209A291}"/>
            </c:ext>
          </c:extLst>
        </c:ser>
        <c:ser>
          <c:idx val="8"/>
          <c:order val="4"/>
          <c:tx>
            <c:v>Pipe 3 Smooth</c:v>
          </c:tx>
          <c:spPr>
            <a:ln w="25400" cap="rnd">
              <a:noFill/>
              <a:round/>
            </a:ln>
            <a:effectLst/>
          </c:spPr>
          <c:marker>
            <c:symbol val="circle"/>
            <c:size val="7"/>
            <c:spPr>
              <a:noFill/>
              <a:ln w="15875">
                <a:solidFill>
                  <a:schemeClr val="accent2"/>
                </a:solidFill>
              </a:ln>
              <a:effectLst/>
            </c:spPr>
          </c:marker>
          <c:xVal>
            <c:numRef>
              <c:f>m!$DU$116:$DX$116</c:f>
              <c:numCache>
                <c:formatCode>General</c:formatCode>
                <c:ptCount val="4"/>
                <c:pt idx="1">
                  <c:v>2.3637377208065198E-2</c:v>
                </c:pt>
              </c:numCache>
            </c:numRef>
          </c:xVal>
          <c:yVal>
            <c:numRef>
              <c:f>m!$DU$108:$DX$108</c:f>
              <c:numCache>
                <c:formatCode>General</c:formatCode>
                <c:ptCount val="4"/>
                <c:pt idx="1">
                  <c:v>3.4701885708545627E-2</c:v>
                </c:pt>
              </c:numCache>
            </c:numRef>
          </c:yVal>
          <c:smooth val="0"/>
          <c:extLst>
            <c:ext xmlns:c16="http://schemas.microsoft.com/office/drawing/2014/chart" uri="{C3380CC4-5D6E-409C-BE32-E72D297353CC}">
              <c16:uniqueId val="{00000004-94B0-44C3-87C2-FBA89209A291}"/>
            </c:ext>
          </c:extLst>
        </c:ser>
        <c:ser>
          <c:idx val="10"/>
          <c:order val="5"/>
          <c:tx>
            <c:v>Pipe 3 Rough</c:v>
          </c:tx>
          <c:spPr>
            <a:ln w="25400" cap="rnd">
              <a:noFill/>
              <a:round/>
            </a:ln>
            <a:effectLst/>
          </c:spPr>
          <c:marker>
            <c:symbol val="circle"/>
            <c:size val="5"/>
            <c:spPr>
              <a:noFill/>
              <a:ln w="19050">
                <a:solidFill>
                  <a:schemeClr val="accent4"/>
                </a:solidFill>
              </a:ln>
              <a:effectLst/>
            </c:spPr>
          </c:marker>
          <c:xVal>
            <c:numRef>
              <c:f>m!$DY$116:$EL$116</c:f>
              <c:numCache>
                <c:formatCode>General</c:formatCode>
                <c:ptCount val="14"/>
                <c:pt idx="0">
                  <c:v>1.7282018840389063E-3</c:v>
                </c:pt>
                <c:pt idx="1">
                  <c:v>2.4377128399842907E-2</c:v>
                </c:pt>
                <c:pt idx="2">
                  <c:v>4.764676816891715E-2</c:v>
                </c:pt>
                <c:pt idx="3">
                  <c:v>7.4778499066735657E-2</c:v>
                </c:pt>
                <c:pt idx="4">
                  <c:v>0.11872784661268407</c:v>
                </c:pt>
                <c:pt idx="5">
                  <c:v>0.16359018452334431</c:v>
                </c:pt>
                <c:pt idx="6">
                  <c:v>0.20502759546987959</c:v>
                </c:pt>
                <c:pt idx="7">
                  <c:v>0.29086421575615345</c:v>
                </c:pt>
                <c:pt idx="8">
                  <c:v>0.42257124857857131</c:v>
                </c:pt>
                <c:pt idx="10">
                  <c:v>0.82334181987871247</c:v>
                </c:pt>
                <c:pt idx="11">
                  <c:v>0.82114569258062464</c:v>
                </c:pt>
                <c:pt idx="13">
                  <c:v>0.58710116358467423</c:v>
                </c:pt>
              </c:numCache>
            </c:numRef>
          </c:xVal>
          <c:yVal>
            <c:numRef>
              <c:f>m!$DY$108:$EL$108</c:f>
              <c:numCache>
                <c:formatCode>General</c:formatCode>
                <c:ptCount val="14"/>
                <c:pt idx="0">
                  <c:v>7.3611442375323809E-3</c:v>
                </c:pt>
                <c:pt idx="1">
                  <c:v>2.6091740046309493E-2</c:v>
                </c:pt>
                <c:pt idx="2">
                  <c:v>3.778811234889904E-2</c:v>
                </c:pt>
                <c:pt idx="3">
                  <c:v>5.4753313669653358E-2</c:v>
                </c:pt>
                <c:pt idx="4">
                  <c:v>8.5520650363639317E-2</c:v>
                </c:pt>
                <c:pt idx="5">
                  <c:v>7.6785584231706686E-2</c:v>
                </c:pt>
                <c:pt idx="6">
                  <c:v>8.2128328687384108E-2</c:v>
                </c:pt>
                <c:pt idx="7">
                  <c:v>6.8312466799255123E-2</c:v>
                </c:pt>
                <c:pt idx="8">
                  <c:v>8.6732767769770749E-2</c:v>
                </c:pt>
                <c:pt idx="10">
                  <c:v>5.9843868532745814E-2</c:v>
                </c:pt>
                <c:pt idx="11">
                  <c:v>7.8612789245365633E-2</c:v>
                </c:pt>
                <c:pt idx="13">
                  <c:v>9.6173840146222433E-2</c:v>
                </c:pt>
              </c:numCache>
            </c:numRef>
          </c:yVal>
          <c:smooth val="0"/>
          <c:extLst>
            <c:ext xmlns:c16="http://schemas.microsoft.com/office/drawing/2014/chart" uri="{C3380CC4-5D6E-409C-BE32-E72D297353CC}">
              <c16:uniqueId val="{00000005-94B0-44C3-87C2-FBA89209A291}"/>
            </c:ext>
          </c:extLst>
        </c:ser>
        <c:dLbls>
          <c:showLegendKey val="0"/>
          <c:showVal val="0"/>
          <c:showCatName val="0"/>
          <c:showSerName val="0"/>
          <c:showPercent val="0"/>
          <c:showBubbleSize val="0"/>
        </c:dLbls>
        <c:axId val="624399680"/>
        <c:axId val="624400008"/>
        <c:extLst/>
      </c:scatterChart>
      <c:valAx>
        <c:axId val="624399680"/>
        <c:scaling>
          <c:logBase val="10"/>
          <c:orientation val="minMax"/>
          <c:max val="9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Arial"/>
                    <a:ea typeface="Arial"/>
                    <a:cs typeface="Arial"/>
                  </a:defRPr>
                </a:pPr>
                <a:r>
                  <a:rPr lang="en-US" sz="1600" b="0" i="0" u="none" strike="noStrike" baseline="0">
                    <a:effectLst/>
                  </a:rPr>
                  <a:t>Relative Error for Axial Inertia of Inextensible Pipe, ψ</a:t>
                </a:r>
                <a:r>
                  <a:rPr lang="en-US" sz="1600" b="0" i="0" u="none" strike="noStrike" baseline="-25000">
                    <a:effectLst/>
                  </a:rPr>
                  <a:t>ai2</a:t>
                </a:r>
                <a:endParaRPr lang="en-US" sz="1600">
                  <a:effectLst/>
                </a:endParaRPr>
              </a:p>
            </c:rich>
          </c:tx>
          <c:layout>
            <c:manualLayout>
              <c:xMode val="edge"/>
              <c:yMode val="edge"/>
              <c:x val="0.22683440029094862"/>
              <c:y val="0.94436847103513766"/>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At val="1.0000000000000002E-3"/>
        <c:crossBetween val="midCat"/>
      </c:valAx>
      <c:valAx>
        <c:axId val="624400008"/>
        <c:scaling>
          <c:logBase val="10"/>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Dynamic Axial Force Ratio,  ψ</a:t>
                </a:r>
                <a:r>
                  <a:rPr lang="en-US" sz="1400" b="0" i="0" u="none" strike="noStrike" baseline="-25000">
                    <a:effectLst/>
                  </a:rPr>
                  <a:t>N</a:t>
                </a:r>
                <a:r>
                  <a:rPr lang="en-US" sz="1400" b="0" i="0" u="none" strike="noStrike" baseline="0">
                    <a:effectLst/>
                  </a:rPr>
                  <a:t> = da(N)/N</a:t>
                </a:r>
                <a:r>
                  <a:rPr lang="en-US" sz="1400" b="0" i="0" u="none" strike="noStrike" baseline="-25000">
                    <a:effectLst/>
                  </a:rPr>
                  <a:t>seq</a:t>
                </a:r>
                <a:r>
                  <a:rPr lang="en-US" sz="1400" b="0" i="0" u="none" strike="noStrike" baseline="0">
                    <a:effectLst/>
                  </a:rPr>
                  <a:t> </a:t>
                </a:r>
                <a:endParaRPr lang="en-US" sz="1400">
                  <a:effectLst/>
                </a:endParaRPr>
              </a:p>
            </c:rich>
          </c:tx>
          <c:layout>
            <c:manualLayout>
              <c:xMode val="edge"/>
              <c:yMode val="edge"/>
              <c:x val="7.2221857075878857E-3"/>
              <c:y val="0.14230761753071464"/>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minorUnit val="0.5"/>
      </c:valAx>
      <c:spPr>
        <a:noFill/>
        <a:ln w="12700">
          <a:solidFill>
            <a:srgbClr val="808080"/>
          </a:solidFill>
          <a:prstDash val="solid"/>
        </a:ln>
        <a:effectLst/>
      </c:spPr>
    </c:plotArea>
    <c:legend>
      <c:legendPos val="r"/>
      <c:layout>
        <c:manualLayout>
          <c:xMode val="edge"/>
          <c:yMode val="edge"/>
          <c:x val="0.77911502561743862"/>
          <c:y val="3.8523752906955006E-2"/>
          <c:w val="0.13559291732940729"/>
          <c:h val="0.28563220195766126"/>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72234083206911E-2"/>
          <c:y val="2.4349477682811017E-2"/>
          <c:w val="0.69309352024109461"/>
          <c:h val="0.86113960113960109"/>
        </c:manualLayout>
      </c:layout>
      <c:scatterChart>
        <c:scatterStyle val="lineMarker"/>
        <c:varyColors val="0"/>
        <c:ser>
          <c:idx val="6"/>
          <c:order val="0"/>
          <c:tx>
            <c:v>Ormen Lange</c:v>
          </c:tx>
          <c:spPr>
            <a:ln w="25400" cap="rnd">
              <a:noFill/>
              <a:round/>
            </a:ln>
            <a:effectLst/>
          </c:spPr>
          <c:marker>
            <c:symbol val="circle"/>
            <c:size val="7"/>
            <c:spPr>
              <a:noFill/>
              <a:ln w="15875">
                <a:solidFill>
                  <a:schemeClr val="tx1"/>
                </a:solidFill>
              </a:ln>
              <a:effectLst/>
            </c:spPr>
          </c:marker>
          <c:xVal>
            <c:numRef>
              <c:f>m!$AF$161:$AO$161</c:f>
              <c:numCache>
                <c:formatCode>General</c:formatCode>
                <c:ptCount val="10"/>
                <c:pt idx="0">
                  <c:v>0.99815810809371408</c:v>
                </c:pt>
                <c:pt idx="1">
                  <c:v>0.99775291529283472</c:v>
                </c:pt>
                <c:pt idx="2">
                  <c:v>0.99570239922050974</c:v>
                </c:pt>
                <c:pt idx="3">
                  <c:v>0.99927980648777814</c:v>
                </c:pt>
                <c:pt idx="4">
                  <c:v>1.0142742209705271</c:v>
                </c:pt>
                <c:pt idx="5">
                  <c:v>1.0162924743025807</c:v>
                </c:pt>
                <c:pt idx="6">
                  <c:v>1.0383689788175294</c:v>
                </c:pt>
                <c:pt idx="7">
                  <c:v>1.1007782601085476</c:v>
                </c:pt>
                <c:pt idx="8">
                  <c:v>1.152634079663803</c:v>
                </c:pt>
                <c:pt idx="9">
                  <c:v>1.2153636351591333</c:v>
                </c:pt>
              </c:numCache>
            </c:numRef>
          </c:xVal>
          <c:yVal>
            <c:numRef>
              <c:f>m!$AF$98:$AO$98</c:f>
              <c:numCache>
                <c:formatCode>General</c:formatCode>
                <c:ptCount val="10"/>
                <c:pt idx="6">
                  <c:v>1.2985719350937881</c:v>
                </c:pt>
                <c:pt idx="7">
                  <c:v>1.6722298246376108</c:v>
                </c:pt>
                <c:pt idx="8">
                  <c:v>1.7083555060939886</c:v>
                </c:pt>
                <c:pt idx="9">
                  <c:v>1.6761170486622958</c:v>
                </c:pt>
              </c:numCache>
            </c:numRef>
          </c:yVal>
          <c:smooth val="0"/>
          <c:extLst>
            <c:ext xmlns:c16="http://schemas.microsoft.com/office/drawing/2014/chart" uri="{C3380CC4-5D6E-409C-BE32-E72D297353CC}">
              <c16:uniqueId val="{00000000-80A7-4AF3-9C4D-B73AA2056679}"/>
            </c:ext>
          </c:extLst>
        </c:ser>
        <c:ser>
          <c:idx val="7"/>
          <c:order val="1"/>
          <c:tx>
            <c:v>ExxonMobil</c:v>
          </c:tx>
          <c:spPr>
            <a:ln w="25400" cap="rnd">
              <a:noFill/>
              <a:round/>
            </a:ln>
            <a:effectLst/>
          </c:spPr>
          <c:marker>
            <c:symbol val="circle"/>
            <c:size val="7"/>
            <c:spPr>
              <a:noFill/>
              <a:ln w="15875">
                <a:solidFill>
                  <a:schemeClr val="accent3"/>
                </a:solidFill>
              </a:ln>
              <a:effectLst/>
            </c:spPr>
          </c:marker>
          <c:xVal>
            <c:numRef>
              <c:f>m!$AP$161:$BL$161</c:f>
              <c:numCache>
                <c:formatCode>General</c:formatCode>
                <c:ptCount val="23"/>
                <c:pt idx="0">
                  <c:v>1.0082706607197238</c:v>
                </c:pt>
                <c:pt idx="1">
                  <c:v>1.0030355498389345</c:v>
                </c:pt>
                <c:pt idx="2">
                  <c:v>1.0008830594301228</c:v>
                </c:pt>
                <c:pt idx="3">
                  <c:v>0.99541039777952278</c:v>
                </c:pt>
                <c:pt idx="4">
                  <c:v>1.0030048441194246</c:v>
                </c:pt>
                <c:pt idx="5">
                  <c:v>0.99845535101312677</c:v>
                </c:pt>
                <c:pt idx="6">
                  <c:v>1.107052154088138</c:v>
                </c:pt>
                <c:pt idx="7">
                  <c:v>1.1848745068077389</c:v>
                </c:pt>
                <c:pt idx="8">
                  <c:v>1.1712887028468475</c:v>
                </c:pt>
                <c:pt idx="9">
                  <c:v>1.188003987056641</c:v>
                </c:pt>
                <c:pt idx="10">
                  <c:v>1.2061795099437516</c:v>
                </c:pt>
                <c:pt idx="11">
                  <c:v>1.2445881130970482</c:v>
                </c:pt>
                <c:pt idx="12">
                  <c:v>1.3182861331182092</c:v>
                </c:pt>
                <c:pt idx="13">
                  <c:v>1.3783626765292278</c:v>
                </c:pt>
                <c:pt idx="14">
                  <c:v>1.4978136025759008</c:v>
                </c:pt>
                <c:pt idx="15">
                  <c:v>1.5641658600518238</c:v>
                </c:pt>
                <c:pt idx="16">
                  <c:v>1.6132852170747967</c:v>
                </c:pt>
                <c:pt idx="17">
                  <c:v>1.6383823641760884</c:v>
                </c:pt>
                <c:pt idx="18">
                  <c:v>1.4585068852944598</c:v>
                </c:pt>
                <c:pt idx="19">
                  <c:v>0.99425555590509973</c:v>
                </c:pt>
                <c:pt idx="20">
                  <c:v>0.98580439876927484</c:v>
                </c:pt>
                <c:pt idx="21">
                  <c:v>0.9840790980584404</c:v>
                </c:pt>
                <c:pt idx="22">
                  <c:v>0.98411598738093875</c:v>
                </c:pt>
              </c:numCache>
            </c:numRef>
          </c:xVal>
          <c:yVal>
            <c:numRef>
              <c:f>m!$AP$98:$BL$98</c:f>
              <c:numCache>
                <c:formatCode>General</c:formatCode>
                <c:ptCount val="23"/>
                <c:pt idx="0">
                  <c:v>18.091723115636935</c:v>
                </c:pt>
                <c:pt idx="1">
                  <c:v>5.3889016440711481</c:v>
                </c:pt>
                <c:pt idx="2">
                  <c:v>1.3190669639479351</c:v>
                </c:pt>
                <c:pt idx="4">
                  <c:v>0.91108852235585536</c:v>
                </c:pt>
                <c:pt idx="6">
                  <c:v>3.1043211233859296</c:v>
                </c:pt>
                <c:pt idx="12">
                  <c:v>2.243363998249607</c:v>
                </c:pt>
              </c:numCache>
            </c:numRef>
          </c:yVal>
          <c:smooth val="0"/>
          <c:extLst>
            <c:ext xmlns:c16="http://schemas.microsoft.com/office/drawing/2014/chart" uri="{C3380CC4-5D6E-409C-BE32-E72D297353CC}">
              <c16:uniqueId val="{00000001-80A7-4AF3-9C4D-B73AA2056679}"/>
            </c:ext>
          </c:extLst>
        </c:ser>
        <c:ser>
          <c:idx val="12"/>
          <c:order val="2"/>
          <c:tx>
            <c:v>Pipe 1</c:v>
          </c:tx>
          <c:spPr>
            <a:ln w="25400" cap="rnd">
              <a:noFill/>
              <a:round/>
            </a:ln>
            <a:effectLst/>
          </c:spPr>
          <c:marker>
            <c:symbol val="circle"/>
            <c:size val="8"/>
            <c:spPr>
              <a:noFill/>
              <a:ln w="15875">
                <a:solidFill>
                  <a:schemeClr val="accent6"/>
                </a:solidFill>
              </a:ln>
              <a:effectLst/>
            </c:spPr>
          </c:marker>
          <c:xVal>
            <c:numRef>
              <c:f>m!$BM$161:$CO$161</c:f>
              <c:numCache>
                <c:formatCode>General</c:formatCode>
                <c:ptCount val="29"/>
                <c:pt idx="0">
                  <c:v>1.2258881001459796</c:v>
                </c:pt>
                <c:pt idx="1">
                  <c:v>2.3094029916767491</c:v>
                </c:pt>
                <c:pt idx="2">
                  <c:v>5.1623783448521205</c:v>
                </c:pt>
                <c:pt idx="3">
                  <c:v>1.0129125380506823</c:v>
                </c:pt>
                <c:pt idx="4">
                  <c:v>1.0482201640159581</c:v>
                </c:pt>
                <c:pt idx="5">
                  <c:v>1.045273252008506</c:v>
                </c:pt>
                <c:pt idx="6">
                  <c:v>1.133612445825225</c:v>
                </c:pt>
                <c:pt idx="7">
                  <c:v>1.2302596470893492</c:v>
                </c:pt>
                <c:pt idx="8">
                  <c:v>1.3227449205923549</c:v>
                </c:pt>
                <c:pt idx="9">
                  <c:v>1.3837515245691911</c:v>
                </c:pt>
                <c:pt idx="10">
                  <c:v>1.6103471895428507</c:v>
                </c:pt>
                <c:pt idx="11">
                  <c:v>1.7584526503753311</c:v>
                </c:pt>
                <c:pt idx="12">
                  <c:v>1.9575346842123191</c:v>
                </c:pt>
                <c:pt idx="13">
                  <c:v>1.0121013846701448</c:v>
                </c:pt>
                <c:pt idx="14">
                  <c:v>1.3788982031804389</c:v>
                </c:pt>
                <c:pt idx="15">
                  <c:v>1.2833830619711637</c:v>
                </c:pt>
                <c:pt idx="16">
                  <c:v>1.882200628370333</c:v>
                </c:pt>
                <c:pt idx="17">
                  <c:v>2.0512777005682579</c:v>
                </c:pt>
                <c:pt idx="18">
                  <c:v>2.1860543773413417</c:v>
                </c:pt>
                <c:pt idx="19">
                  <c:v>2.287196068382614</c:v>
                </c:pt>
                <c:pt idx="20">
                  <c:v>2.7392420614293869</c:v>
                </c:pt>
                <c:pt idx="21">
                  <c:v>3.54817939738275</c:v>
                </c:pt>
                <c:pt idx="22">
                  <c:v>3.8332526406950023</c:v>
                </c:pt>
                <c:pt idx="23">
                  <c:v>4.3033932198125981</c:v>
                </c:pt>
                <c:pt idx="24">
                  <c:v>4.7925970182572444</c:v>
                </c:pt>
                <c:pt idx="25">
                  <c:v>5.1212267533258871</c:v>
                </c:pt>
                <c:pt idx="26">
                  <c:v>5.6379508410201327</c:v>
                </c:pt>
                <c:pt idx="27">
                  <c:v>6.1585118348552808</c:v>
                </c:pt>
                <c:pt idx="28">
                  <c:v>5.718040356564881</c:v>
                </c:pt>
              </c:numCache>
            </c:numRef>
          </c:xVal>
          <c:yVal>
            <c:numRef>
              <c:f>m!$BM$98:$CO$98</c:f>
              <c:numCache>
                <c:formatCode>General</c:formatCode>
                <c:ptCount val="29"/>
                <c:pt idx="0">
                  <c:v>1.4721629036585979</c:v>
                </c:pt>
                <c:pt idx="1">
                  <c:v>1.5480362378423449</c:v>
                </c:pt>
                <c:pt idx="3">
                  <c:v>0.90249786638612739</c:v>
                </c:pt>
                <c:pt idx="4">
                  <c:v>1.2548781736191221</c:v>
                </c:pt>
                <c:pt idx="5">
                  <c:v>0.88567015677770256</c:v>
                </c:pt>
                <c:pt idx="6">
                  <c:v>1.2580534997085591</c:v>
                </c:pt>
                <c:pt idx="7">
                  <c:v>1.4086537181972587</c:v>
                </c:pt>
                <c:pt idx="8">
                  <c:v>1.4424425452284735</c:v>
                </c:pt>
                <c:pt idx="9">
                  <c:v>1.3515522841626286</c:v>
                </c:pt>
                <c:pt idx="10">
                  <c:v>1.4026992736307624</c:v>
                </c:pt>
                <c:pt idx="11">
                  <c:v>1.4314585251551992</c:v>
                </c:pt>
                <c:pt idx="12">
                  <c:v>1.5559392229897959</c:v>
                </c:pt>
                <c:pt idx="13">
                  <c:v>0.80844108166908912</c:v>
                </c:pt>
                <c:pt idx="14">
                  <c:v>1.5213746682993858</c:v>
                </c:pt>
                <c:pt idx="15">
                  <c:v>1.3043454972624913</c:v>
                </c:pt>
                <c:pt idx="16">
                  <c:v>1.4596760816366705</c:v>
                </c:pt>
                <c:pt idx="17">
                  <c:v>1.5139109842500296</c:v>
                </c:pt>
                <c:pt idx="18">
                  <c:v>1.4617678270470824</c:v>
                </c:pt>
                <c:pt idx="19">
                  <c:v>1.4090881379908915</c:v>
                </c:pt>
              </c:numCache>
            </c:numRef>
          </c:yVal>
          <c:smooth val="0"/>
          <c:extLst>
            <c:ext xmlns:c16="http://schemas.microsoft.com/office/drawing/2014/chart" uri="{C3380CC4-5D6E-409C-BE32-E72D297353CC}">
              <c16:uniqueId val="{00000002-80A7-4AF3-9C4D-B73AA2056679}"/>
            </c:ext>
          </c:extLst>
        </c:ser>
        <c:ser>
          <c:idx val="14"/>
          <c:order val="3"/>
          <c:tx>
            <c:v>Pipe 2</c:v>
          </c:tx>
          <c:spPr>
            <a:ln w="25400" cap="rnd">
              <a:noFill/>
              <a:round/>
            </a:ln>
            <a:effectLst/>
          </c:spPr>
          <c:marker>
            <c:symbol val="circle"/>
            <c:size val="7"/>
            <c:spPr>
              <a:noFill/>
              <a:ln w="15875">
                <a:solidFill>
                  <a:srgbClr val="00B0F0"/>
                </a:solidFill>
              </a:ln>
              <a:effectLst/>
            </c:spPr>
          </c:marker>
          <c:xVal>
            <c:numRef>
              <c:f>m!$CP$161:$DT$161</c:f>
              <c:numCache>
                <c:formatCode>General</c:formatCode>
                <c:ptCount val="31"/>
                <c:pt idx="0">
                  <c:v>1.0321564558369822</c:v>
                </c:pt>
                <c:pt idx="1">
                  <c:v>1.097528866830922</c:v>
                </c:pt>
                <c:pt idx="2">
                  <c:v>1.1525970753688306</c:v>
                </c:pt>
                <c:pt idx="3">
                  <c:v>1.3228428131958012</c:v>
                </c:pt>
                <c:pt idx="4">
                  <c:v>1.449704007093314</c:v>
                </c:pt>
                <c:pt idx="5">
                  <c:v>1.5504709079836283</c:v>
                </c:pt>
                <c:pt idx="6">
                  <c:v>1.722165005540061</c:v>
                </c:pt>
                <c:pt idx="7">
                  <c:v>2.0445813825345067</c:v>
                </c:pt>
                <c:pt idx="8">
                  <c:v>2.299709500390267</c:v>
                </c:pt>
                <c:pt idx="9">
                  <c:v>2.4344383143848187</c:v>
                </c:pt>
                <c:pt idx="10">
                  <c:v>2.7716269445152721</c:v>
                </c:pt>
                <c:pt idx="11">
                  <c:v>3.0098637960176315</c:v>
                </c:pt>
                <c:pt idx="12">
                  <c:v>3.4328846920433516</c:v>
                </c:pt>
                <c:pt idx="13">
                  <c:v>3.2607278989903214</c:v>
                </c:pt>
                <c:pt idx="14">
                  <c:v>2.6512254099007713</c:v>
                </c:pt>
                <c:pt idx="15">
                  <c:v>1.0100464640667737</c:v>
                </c:pt>
                <c:pt idx="16">
                  <c:v>1.1083289547587556</c:v>
                </c:pt>
                <c:pt idx="17">
                  <c:v>1.6499533312248817</c:v>
                </c:pt>
                <c:pt idx="18">
                  <c:v>8.9509048970292042</c:v>
                </c:pt>
                <c:pt idx="19">
                  <c:v>10.440632000370142</c:v>
                </c:pt>
                <c:pt idx="20">
                  <c:v>12.012954943388516</c:v>
                </c:pt>
                <c:pt idx="21">
                  <c:v>13.642977947443288</c:v>
                </c:pt>
                <c:pt idx="22">
                  <c:v>15.540961459150299</c:v>
                </c:pt>
                <c:pt idx="23">
                  <c:v>1.0014912596356473</c:v>
                </c:pt>
                <c:pt idx="24">
                  <c:v>1.0026518544223366</c:v>
                </c:pt>
                <c:pt idx="25">
                  <c:v>1.0073826746519838</c:v>
                </c:pt>
                <c:pt idx="26">
                  <c:v>1.0288079437967377</c:v>
                </c:pt>
                <c:pt idx="27">
                  <c:v>1.007294917077509</c:v>
                </c:pt>
                <c:pt idx="28">
                  <c:v>10.273744338851133</c:v>
                </c:pt>
                <c:pt idx="29">
                  <c:v>14.008734559738274</c:v>
                </c:pt>
                <c:pt idx="30">
                  <c:v>6.3512840499329029</c:v>
                </c:pt>
              </c:numCache>
            </c:numRef>
          </c:xVal>
          <c:yVal>
            <c:numRef>
              <c:f>m!$CP$98:$DT$98</c:f>
              <c:numCache>
                <c:formatCode>General</c:formatCode>
                <c:ptCount val="31"/>
                <c:pt idx="0">
                  <c:v>1.081863734067221</c:v>
                </c:pt>
                <c:pt idx="1">
                  <c:v>1.2572387167226124</c:v>
                </c:pt>
                <c:pt idx="2">
                  <c:v>1.1360986568109415</c:v>
                </c:pt>
                <c:pt idx="3">
                  <c:v>1.3576209011410898</c:v>
                </c:pt>
                <c:pt idx="4">
                  <c:v>1.3225994715143725</c:v>
                </c:pt>
                <c:pt idx="5">
                  <c:v>1.2009048017560393</c:v>
                </c:pt>
                <c:pt idx="6">
                  <c:v>1.2024251707669846</c:v>
                </c:pt>
                <c:pt idx="7">
                  <c:v>1.3505111224685185</c:v>
                </c:pt>
                <c:pt idx="8">
                  <c:v>1.3765003052903368</c:v>
                </c:pt>
                <c:pt idx="9">
                  <c:v>1.2395390671423394</c:v>
                </c:pt>
                <c:pt idx="10">
                  <c:v>1.2981556887471948</c:v>
                </c:pt>
                <c:pt idx="11">
                  <c:v>1.257810785010453</c:v>
                </c:pt>
                <c:pt idx="12">
                  <c:v>1.3253348418551525</c:v>
                </c:pt>
                <c:pt idx="14">
                  <c:v>1.2049427167060178</c:v>
                </c:pt>
                <c:pt idx="15">
                  <c:v>0.88228711865381537</c:v>
                </c:pt>
                <c:pt idx="18">
                  <c:v>1.2790394256436814</c:v>
                </c:pt>
                <c:pt idx="19">
                  <c:v>1.2477567704151353</c:v>
                </c:pt>
                <c:pt idx="20">
                  <c:v>1.2240896661497742</c:v>
                </c:pt>
                <c:pt idx="21">
                  <c:v>1.2047859430194348</c:v>
                </c:pt>
                <c:pt idx="22">
                  <c:v>1.2118508996619266</c:v>
                </c:pt>
                <c:pt idx="23">
                  <c:v>0.94504193803600101</c:v>
                </c:pt>
                <c:pt idx="24">
                  <c:v>0.56635067051125687</c:v>
                </c:pt>
                <c:pt idx="25">
                  <c:v>1.4550283889555418</c:v>
                </c:pt>
                <c:pt idx="26">
                  <c:v>1.3062872878321061</c:v>
                </c:pt>
                <c:pt idx="27">
                  <c:v>1.0700186763843609</c:v>
                </c:pt>
                <c:pt idx="28">
                  <c:v>1.2758116764282488</c:v>
                </c:pt>
                <c:pt idx="29">
                  <c:v>1.2506521195934672</c:v>
                </c:pt>
              </c:numCache>
            </c:numRef>
          </c:yVal>
          <c:smooth val="0"/>
          <c:extLst>
            <c:ext xmlns:c16="http://schemas.microsoft.com/office/drawing/2014/chart" uri="{C3380CC4-5D6E-409C-BE32-E72D297353CC}">
              <c16:uniqueId val="{00000003-80A7-4AF3-9C4D-B73AA2056679}"/>
            </c:ext>
          </c:extLst>
        </c:ser>
        <c:ser>
          <c:idx val="8"/>
          <c:order val="4"/>
          <c:tx>
            <c:v>Pipe 3 Smooth</c:v>
          </c:tx>
          <c:spPr>
            <a:ln w="25400" cap="rnd">
              <a:noFill/>
              <a:round/>
            </a:ln>
            <a:effectLst/>
          </c:spPr>
          <c:marker>
            <c:symbol val="circle"/>
            <c:size val="7"/>
            <c:spPr>
              <a:noFill/>
              <a:ln w="15875">
                <a:solidFill>
                  <a:schemeClr val="accent2"/>
                </a:solidFill>
              </a:ln>
              <a:effectLst/>
            </c:spPr>
          </c:marker>
          <c:xVal>
            <c:numRef>
              <c:f>m!$DU$161:$DX$161</c:f>
              <c:numCache>
                <c:formatCode>General</c:formatCode>
                <c:ptCount val="4"/>
                <c:pt idx="0">
                  <c:v>1.3124707128858686</c:v>
                </c:pt>
                <c:pt idx="1">
                  <c:v>1.1296643121572034</c:v>
                </c:pt>
                <c:pt idx="2">
                  <c:v>2.0679426985792544</c:v>
                </c:pt>
                <c:pt idx="3">
                  <c:v>8.8077505948243591</c:v>
                </c:pt>
              </c:numCache>
            </c:numRef>
          </c:xVal>
          <c:yVal>
            <c:numRef>
              <c:f>m!$DU$98:$DX$98</c:f>
              <c:numCache>
                <c:formatCode>General</c:formatCode>
                <c:ptCount val="4"/>
                <c:pt idx="1">
                  <c:v>2.7122544554363386</c:v>
                </c:pt>
              </c:numCache>
            </c:numRef>
          </c:yVal>
          <c:smooth val="0"/>
          <c:extLst>
            <c:ext xmlns:c16="http://schemas.microsoft.com/office/drawing/2014/chart" uri="{C3380CC4-5D6E-409C-BE32-E72D297353CC}">
              <c16:uniqueId val="{00000004-80A7-4AF3-9C4D-B73AA2056679}"/>
            </c:ext>
          </c:extLst>
        </c:ser>
        <c:ser>
          <c:idx val="10"/>
          <c:order val="5"/>
          <c:tx>
            <c:v>Pipe 3 Rough</c:v>
          </c:tx>
          <c:spPr>
            <a:ln w="25400" cap="rnd">
              <a:noFill/>
              <a:round/>
            </a:ln>
            <a:effectLst/>
          </c:spPr>
          <c:marker>
            <c:symbol val="circle"/>
            <c:size val="5"/>
            <c:spPr>
              <a:noFill/>
              <a:ln w="19050">
                <a:solidFill>
                  <a:schemeClr val="accent4"/>
                </a:solidFill>
              </a:ln>
              <a:effectLst/>
            </c:spPr>
          </c:marker>
          <c:xVal>
            <c:numRef>
              <c:f>m!$DY$161:$EL$161</c:f>
              <c:numCache>
                <c:formatCode>General</c:formatCode>
                <c:ptCount val="14"/>
                <c:pt idx="0">
                  <c:v>1.0102571884537961</c:v>
                </c:pt>
                <c:pt idx="1">
                  <c:v>1.0656207977102032</c:v>
                </c:pt>
                <c:pt idx="2">
                  <c:v>1.0953561528365137</c:v>
                </c:pt>
                <c:pt idx="3">
                  <c:v>1.1876890403062252</c:v>
                </c:pt>
                <c:pt idx="4">
                  <c:v>1.2378987986250329</c:v>
                </c:pt>
                <c:pt idx="5">
                  <c:v>1.3299436279299353</c:v>
                </c:pt>
                <c:pt idx="6">
                  <c:v>1.466948761592149</c:v>
                </c:pt>
                <c:pt idx="7">
                  <c:v>1.4873760109907737</c:v>
                </c:pt>
                <c:pt idx="8">
                  <c:v>3.369011333209841</c:v>
                </c:pt>
                <c:pt idx="9">
                  <c:v>4.0522373989250342</c:v>
                </c:pt>
                <c:pt idx="10">
                  <c:v>4.5600652525545362</c:v>
                </c:pt>
                <c:pt idx="11">
                  <c:v>5.1989038856231664</c:v>
                </c:pt>
                <c:pt idx="12">
                  <c:v>4.3630597665577566</c:v>
                </c:pt>
                <c:pt idx="13">
                  <c:v>3.4340394318662262</c:v>
                </c:pt>
              </c:numCache>
            </c:numRef>
          </c:xVal>
          <c:yVal>
            <c:numRef>
              <c:f>m!$DY$98:$EL$98</c:f>
              <c:numCache>
                <c:formatCode>General</c:formatCode>
                <c:ptCount val="14"/>
                <c:pt idx="0">
                  <c:v>2.8970439601952824</c:v>
                </c:pt>
                <c:pt idx="1">
                  <c:v>1.9393886378103995</c:v>
                </c:pt>
                <c:pt idx="2">
                  <c:v>1.6651195070475147</c:v>
                </c:pt>
                <c:pt idx="3">
                  <c:v>1.8599393585114403</c:v>
                </c:pt>
                <c:pt idx="4">
                  <c:v>1.6491517350810048</c:v>
                </c:pt>
                <c:pt idx="5">
                  <c:v>1.652071280773018</c:v>
                </c:pt>
                <c:pt idx="6">
                  <c:v>1.7537014834084816</c:v>
                </c:pt>
                <c:pt idx="7">
                  <c:v>1.4977824916681817</c:v>
                </c:pt>
                <c:pt idx="8">
                  <c:v>1.6834808618964032</c:v>
                </c:pt>
                <c:pt idx="10">
                  <c:v>1.44927158381323</c:v>
                </c:pt>
                <c:pt idx="11">
                  <c:v>1.5791262582892627</c:v>
                </c:pt>
                <c:pt idx="13">
                  <c:v>1.4293414820412804</c:v>
                </c:pt>
              </c:numCache>
            </c:numRef>
          </c:yVal>
          <c:smooth val="0"/>
          <c:extLst>
            <c:ext xmlns:c16="http://schemas.microsoft.com/office/drawing/2014/chart" uri="{C3380CC4-5D6E-409C-BE32-E72D297353CC}">
              <c16:uniqueId val="{00000005-80A7-4AF3-9C4D-B73AA2056679}"/>
            </c:ext>
          </c:extLst>
        </c:ser>
        <c:dLbls>
          <c:showLegendKey val="0"/>
          <c:showVal val="0"/>
          <c:showCatName val="0"/>
          <c:showSerName val="0"/>
          <c:showPercent val="0"/>
          <c:showBubbleSize val="0"/>
        </c:dLbls>
        <c:axId val="624399680"/>
        <c:axId val="624400008"/>
        <c:extLst/>
      </c:scatterChart>
      <c:valAx>
        <c:axId val="624399680"/>
        <c:scaling>
          <c:orientation val="minMax"/>
          <c:min val="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Flowing / Still Axial Force Ratio, N/N</a:t>
                </a:r>
                <a:r>
                  <a:rPr lang="en-US" sz="1400" b="0" i="0" u="none" strike="noStrike" baseline="-25000">
                    <a:effectLst/>
                  </a:rPr>
                  <a:t>g</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minorUnit val="0.5"/>
      </c:valAx>
      <c:valAx>
        <c:axId val="624400008"/>
        <c:scaling>
          <c:orientation val="minMax"/>
          <c:max val="2"/>
          <c:min val="1"/>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Drag Coefficient, c</a:t>
                </a:r>
                <a:r>
                  <a:rPr lang="en-US" sz="1400" b="0" i="0" u="none" strike="noStrike" baseline="-25000">
                    <a:effectLst/>
                  </a:rPr>
                  <a:t>d</a:t>
                </a:r>
                <a:endParaRPr lang="en-US" sz="1400">
                  <a:effectLst/>
                </a:endParaRPr>
              </a:p>
            </c:rich>
          </c:tx>
          <c:layout>
            <c:manualLayout>
              <c:xMode val="edge"/>
              <c:yMode val="edge"/>
              <c:x val="8.3351517621232246E-3"/>
              <c:y val="0.3436371521935826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minorUnit val="0.1"/>
      </c:valAx>
      <c:spPr>
        <a:noFill/>
        <a:ln w="12700">
          <a:solidFill>
            <a:srgbClr val="808080"/>
          </a:solidFill>
          <a:prstDash val="solid"/>
        </a:ln>
        <a:effectLst/>
      </c:spPr>
    </c:plotArea>
    <c:legend>
      <c:legendPos val="r"/>
      <c:layout>
        <c:manualLayout>
          <c:xMode val="edge"/>
          <c:yMode val="edge"/>
          <c:x val="0.77911502561743862"/>
          <c:y val="3.8523752906955006E-2"/>
          <c:w val="0.20573812318795809"/>
          <c:h val="0.49364051715757745"/>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79648933699651E-2"/>
          <c:y val="2.4349477682811017E-2"/>
          <c:w val="0.71535288472914171"/>
          <c:h val="0.86113960113960109"/>
        </c:manualLayout>
      </c:layout>
      <c:scatterChart>
        <c:scatterStyle val="lineMarker"/>
        <c:varyColors val="0"/>
        <c:ser>
          <c:idx val="6"/>
          <c:order val="0"/>
          <c:tx>
            <c:v>Ormen Lange</c:v>
          </c:tx>
          <c:spPr>
            <a:ln w="25400" cap="rnd">
              <a:noFill/>
              <a:round/>
            </a:ln>
            <a:effectLst/>
          </c:spPr>
          <c:marker>
            <c:symbol val="circle"/>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numRef>
          </c:xVal>
          <c:yVal>
            <c:numRef>
              <c:f>m!$AF$101:$AO$101</c:f>
              <c:numCache>
                <c:formatCode>General</c:formatCode>
                <c:ptCount val="10"/>
                <c:pt idx="6">
                  <c:v>0.11190012539053759</c:v>
                </c:pt>
                <c:pt idx="7">
                  <c:v>0.11273374424399127</c:v>
                </c:pt>
                <c:pt idx="8">
                  <c:v>0.11366885154483222</c:v>
                </c:pt>
                <c:pt idx="9">
                  <c:v>0.11442999242707175</c:v>
                </c:pt>
              </c:numCache>
            </c:numRef>
          </c:yVal>
          <c:smooth val="0"/>
          <c:extLst>
            <c:ext xmlns:c16="http://schemas.microsoft.com/office/drawing/2014/chart" uri="{C3380CC4-5D6E-409C-BE32-E72D297353CC}">
              <c16:uniqueId val="{00000000-4A47-47C6-B507-5910BA9247CE}"/>
            </c:ext>
          </c:extLst>
        </c:ser>
        <c:ser>
          <c:idx val="7"/>
          <c:order val="1"/>
          <c:tx>
            <c:v>ExxonMobil</c:v>
          </c:tx>
          <c:spPr>
            <a:ln w="25400" cap="rnd">
              <a:noFill/>
              <a:round/>
            </a:ln>
            <a:effectLst/>
          </c:spPr>
          <c:marker>
            <c:symbol val="circle"/>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f>m!$AP$101:$BL$101</c:f>
              <c:numCache>
                <c:formatCode>General</c:formatCode>
                <c:ptCount val="23"/>
                <c:pt idx="0">
                  <c:v>4.4684149834602248E-2</c:v>
                </c:pt>
                <c:pt idx="1">
                  <c:v>2.7087186800784716E-2</c:v>
                </c:pt>
                <c:pt idx="2">
                  <c:v>1.461300352871321E-2</c:v>
                </c:pt>
                <c:pt idx="3">
                  <c:v>2.6957213424922577E-2</c:v>
                </c:pt>
                <c:pt idx="4">
                  <c:v>2.6974039659604571E-2</c:v>
                </c:pt>
                <c:pt idx="6">
                  <c:v>0.16149066560891406</c:v>
                </c:pt>
                <c:pt idx="12">
                  <c:v>0.27964893682728548</c:v>
                </c:pt>
                <c:pt idx="19">
                  <c:v>5.2519153135506874E-3</c:v>
                </c:pt>
                <c:pt idx="20">
                  <c:v>1.1083441585295296E-2</c:v>
                </c:pt>
                <c:pt idx="21">
                  <c:v>7.2601067126829948E-3</c:v>
                </c:pt>
              </c:numCache>
            </c:numRef>
          </c:yVal>
          <c:smooth val="0"/>
          <c:extLst>
            <c:ext xmlns:c16="http://schemas.microsoft.com/office/drawing/2014/chart" uri="{C3380CC4-5D6E-409C-BE32-E72D297353CC}">
              <c16:uniqueId val="{00000001-4A47-47C6-B507-5910BA9247CE}"/>
            </c:ext>
          </c:extLst>
        </c:ser>
        <c:ser>
          <c:idx val="12"/>
          <c:order val="2"/>
          <c:tx>
            <c:v>Pipe 1</c:v>
          </c:tx>
          <c:spPr>
            <a:ln w="25400" cap="rnd">
              <a:noFill/>
              <a:round/>
            </a:ln>
            <a:effectLst/>
          </c:spPr>
          <c:marker>
            <c:symbol val="circle"/>
            <c:size val="8"/>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numRef>
          </c:xVal>
          <c:yVal>
            <c:numRef>
              <c:f>m!$BM$101:$CO$101</c:f>
              <c:numCache>
                <c:formatCode>General</c:formatCode>
                <c:ptCount val="29"/>
                <c:pt idx="0">
                  <c:v>0.1226223806960563</c:v>
                </c:pt>
                <c:pt idx="1">
                  <c:v>0.26287539715916264</c:v>
                </c:pt>
                <c:pt idx="3">
                  <c:v>4.7335064855607234E-2</c:v>
                </c:pt>
                <c:pt idx="4">
                  <c:v>8.1763542182470686E-2</c:v>
                </c:pt>
                <c:pt idx="5">
                  <c:v>7.934033215152414E-2</c:v>
                </c:pt>
                <c:pt idx="6">
                  <c:v>0.13169798184625589</c:v>
                </c:pt>
                <c:pt idx="7">
                  <c:v>0.17132739147044021</c:v>
                </c:pt>
                <c:pt idx="8">
                  <c:v>0.20186838125767537</c:v>
                </c:pt>
                <c:pt idx="9">
                  <c:v>0.21947461035904817</c:v>
                </c:pt>
                <c:pt idx="10">
                  <c:v>0.27517476064993834</c:v>
                </c:pt>
                <c:pt idx="11">
                  <c:v>0.3037768683137051</c:v>
                </c:pt>
                <c:pt idx="12">
                  <c:v>0.34095053047176926</c:v>
                </c:pt>
                <c:pt idx="13">
                  <c:v>4.6133956640046957E-2</c:v>
                </c:pt>
                <c:pt idx="14">
                  <c:v>0.21376154717347309</c:v>
                </c:pt>
                <c:pt idx="15">
                  <c:v>0.18598942417556685</c:v>
                </c:pt>
                <c:pt idx="16">
                  <c:v>0.32552991764734113</c:v>
                </c:pt>
                <c:pt idx="17">
                  <c:v>0.35820013337095008</c:v>
                </c:pt>
                <c:pt idx="18">
                  <c:v>0.37569502730403881</c:v>
                </c:pt>
                <c:pt idx="19">
                  <c:v>0.39027767491782955</c:v>
                </c:pt>
              </c:numCache>
            </c:numRef>
          </c:yVal>
          <c:smooth val="0"/>
          <c:extLst>
            <c:ext xmlns:c16="http://schemas.microsoft.com/office/drawing/2014/chart" uri="{C3380CC4-5D6E-409C-BE32-E72D297353CC}">
              <c16:uniqueId val="{00000002-4A47-47C6-B507-5910BA9247CE}"/>
            </c:ext>
          </c:extLst>
        </c:ser>
        <c:ser>
          <c:idx val="14"/>
          <c:order val="3"/>
          <c:tx>
            <c:v>Pipe 2</c:v>
          </c:tx>
          <c:spPr>
            <a:ln w="25400" cap="rnd">
              <a:noFill/>
              <a:round/>
            </a:ln>
            <a:effectLst/>
          </c:spPr>
          <c:marker>
            <c:symbol val="circle"/>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numRef>
          </c:xVal>
          <c:yVal>
            <c:numRef>
              <c:f>m!$CP$101:$DT$101</c:f>
              <c:numCache>
                <c:formatCode>General</c:formatCode>
                <c:ptCount val="31"/>
                <c:pt idx="0">
                  <c:v>4.1769133564628885E-2</c:v>
                </c:pt>
                <c:pt idx="1">
                  <c:v>5.2555743342720507E-2</c:v>
                </c:pt>
                <c:pt idx="2">
                  <c:v>6.0035716886675361E-2</c:v>
                </c:pt>
                <c:pt idx="3">
                  <c:v>7.860689386680092E-2</c:v>
                </c:pt>
                <c:pt idx="4">
                  <c:v>8.9852287855913565E-2</c:v>
                </c:pt>
                <c:pt idx="5">
                  <c:v>9.743038461806873E-2</c:v>
                </c:pt>
                <c:pt idx="6">
                  <c:v>0.10914154501430377</c:v>
                </c:pt>
                <c:pt idx="7">
                  <c:v>0.12761974067335835</c:v>
                </c:pt>
                <c:pt idx="8">
                  <c:v>0.14006112226667836</c:v>
                </c:pt>
                <c:pt idx="9">
                  <c:v>0.14469322913725258</c:v>
                </c:pt>
                <c:pt idx="10">
                  <c:v>0.15808757760029035</c:v>
                </c:pt>
                <c:pt idx="11">
                  <c:v>0.16605227155523075</c:v>
                </c:pt>
                <c:pt idx="12">
                  <c:v>0.17958359994569015</c:v>
                </c:pt>
                <c:pt idx="14">
                  <c:v>0.16562904297383532</c:v>
                </c:pt>
                <c:pt idx="15">
                  <c:v>4.2303715611736209E-2</c:v>
                </c:pt>
                <c:pt idx="18">
                  <c:v>0.22537673223112795</c:v>
                </c:pt>
                <c:pt idx="19">
                  <c:v>0.23881694077906018</c:v>
                </c:pt>
                <c:pt idx="20">
                  <c:v>0.25194136363122765</c:v>
                </c:pt>
                <c:pt idx="21">
                  <c:v>0.26467284587405759</c:v>
                </c:pt>
                <c:pt idx="22">
                  <c:v>0.27862501622423935</c:v>
                </c:pt>
                <c:pt idx="23">
                  <c:v>3.4621650077009618E-2</c:v>
                </c:pt>
                <c:pt idx="24">
                  <c:v>3.4628580001747108E-2</c:v>
                </c:pt>
                <c:pt idx="25">
                  <c:v>3.6133779244356394E-2</c:v>
                </c:pt>
                <c:pt idx="26">
                  <c:v>4.0492284106892533E-2</c:v>
                </c:pt>
                <c:pt idx="27">
                  <c:v>3.5967172474386404E-2</c:v>
                </c:pt>
                <c:pt idx="28">
                  <c:v>0.28929609753916641</c:v>
                </c:pt>
                <c:pt idx="29">
                  <c:v>0.30819003553127877</c:v>
                </c:pt>
              </c:numCache>
            </c:numRef>
          </c:yVal>
          <c:smooth val="0"/>
          <c:extLst>
            <c:ext xmlns:c16="http://schemas.microsoft.com/office/drawing/2014/chart" uri="{C3380CC4-5D6E-409C-BE32-E72D297353CC}">
              <c16:uniqueId val="{00000003-4A47-47C6-B507-5910BA9247CE}"/>
            </c:ext>
          </c:extLst>
        </c:ser>
        <c:ser>
          <c:idx val="8"/>
          <c:order val="4"/>
          <c:tx>
            <c:v>Pipe 3 Smooth</c:v>
          </c:tx>
          <c:spPr>
            <a:ln w="25400" cap="rnd">
              <a:noFill/>
              <a:round/>
            </a:ln>
            <a:effectLst/>
          </c:spPr>
          <c:marker>
            <c:symbol val="circle"/>
            <c:size val="7"/>
            <c:spPr>
              <a:noFill/>
              <a:ln w="15875">
                <a:solidFill>
                  <a:schemeClr val="accent2"/>
                </a:solidFill>
              </a:ln>
              <a:effectLst/>
            </c:spPr>
          </c:marker>
          <c:xVal>
            <c:numRef>
              <c:f>m!$DU$86:$DX$86</c:f>
              <c:numCache>
                <c:formatCode>General</c:formatCode>
                <c:ptCount val="4"/>
                <c:pt idx="1">
                  <c:v>3.8469075681895233</c:v>
                </c:pt>
              </c:numCache>
            </c:numRef>
          </c:xVal>
          <c:yVal>
            <c:numRef>
              <c:f>m!$DU$101:$DX$101</c:f>
              <c:numCache>
                <c:formatCode>General</c:formatCode>
                <c:ptCount val="4"/>
                <c:pt idx="1">
                  <c:v>8.0502035453020065E-2</c:v>
                </c:pt>
              </c:numCache>
            </c:numRef>
          </c:yVal>
          <c:smooth val="0"/>
          <c:extLst>
            <c:ext xmlns:c16="http://schemas.microsoft.com/office/drawing/2014/chart" uri="{C3380CC4-5D6E-409C-BE32-E72D297353CC}">
              <c16:uniqueId val="{00000004-4A47-47C6-B507-5910BA9247CE}"/>
            </c:ext>
          </c:extLst>
        </c:ser>
        <c:ser>
          <c:idx val="10"/>
          <c:order val="5"/>
          <c:tx>
            <c:v>Pipe 3 Rough</c:v>
          </c:tx>
          <c:spPr>
            <a:ln w="25400" cap="rnd">
              <a:noFill/>
              <a:round/>
            </a:ln>
            <a:effectLst/>
          </c:spPr>
          <c:marker>
            <c:symbol val="circle"/>
            <c:size val="5"/>
            <c:spPr>
              <a:noFill/>
              <a:ln w="1905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m!$DY$101:$EL$101</c:f>
              <c:numCache>
                <c:formatCode>General</c:formatCode>
                <c:ptCount val="14"/>
                <c:pt idx="0">
                  <c:v>3.0466369897510451E-2</c:v>
                </c:pt>
                <c:pt idx="1">
                  <c:v>6.0036397569410691E-2</c:v>
                </c:pt>
                <c:pt idx="2">
                  <c:v>7.098439083960259E-2</c:v>
                </c:pt>
                <c:pt idx="3">
                  <c:v>9.7535978655541283E-2</c:v>
                </c:pt>
                <c:pt idx="4">
                  <c:v>0.10888845017001325</c:v>
                </c:pt>
                <c:pt idx="5">
                  <c:v>0.12772234371659544</c:v>
                </c:pt>
                <c:pt idx="6">
                  <c:v>0.15144311015863962</c:v>
                </c:pt>
                <c:pt idx="7">
                  <c:v>0.15454622497441967</c:v>
                </c:pt>
                <c:pt idx="8">
                  <c:v>0.2110854533551251</c:v>
                </c:pt>
                <c:pt idx="10">
                  <c:v>0.25405350454552877</c:v>
                </c:pt>
                <c:pt idx="11">
                  <c:v>0.27535884821279921</c:v>
                </c:pt>
                <c:pt idx="13">
                  <c:v>0.2124416544883112</c:v>
                </c:pt>
              </c:numCache>
            </c:numRef>
          </c:yVal>
          <c:smooth val="0"/>
          <c:extLst>
            <c:ext xmlns:c16="http://schemas.microsoft.com/office/drawing/2014/chart" uri="{C3380CC4-5D6E-409C-BE32-E72D297353CC}">
              <c16:uniqueId val="{00000005-4A47-47C6-B507-5910BA9247CE}"/>
            </c:ext>
          </c:extLst>
        </c:ser>
        <c:dLbls>
          <c:showLegendKey val="0"/>
          <c:showVal val="0"/>
          <c:showCatName val="0"/>
          <c:showSerName val="0"/>
          <c:showPercent val="0"/>
          <c:showBubbleSize val="0"/>
        </c:dLbls>
        <c:axId val="624399680"/>
        <c:axId val="624400008"/>
        <c:extLst/>
      </c:scatterChart>
      <c:valAx>
        <c:axId val="624399680"/>
        <c:scaling>
          <c:logBase val="10"/>
          <c:orientation val="minMax"/>
          <c:max val="9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s-ES" sz="1400" b="0" i="0" u="none" strike="noStrike" baseline="0">
                    <a:effectLst/>
                  </a:rPr>
                  <a:t>Normalized Span Length, L̃ = L/L</a:t>
                </a:r>
                <a:r>
                  <a:rPr lang="es-ES" sz="1400" b="0" i="0" u="none" strike="noStrike" baseline="-25000">
                    <a:effectLst/>
                  </a:rPr>
                  <a:t>st</a:t>
                </a:r>
                <a:endParaRPr lang="en-US" sz="1800">
                  <a:effectLst/>
                </a:endParaRPr>
              </a:p>
            </c:rich>
          </c:tx>
          <c:layout>
            <c:manualLayout>
              <c:xMode val="edge"/>
              <c:yMode val="edge"/>
              <c:x val="0.29272479504335747"/>
              <c:y val="0.95118708452041789"/>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At val="1.0000000000000002E-3"/>
        <c:crossBetween val="midCat"/>
      </c:valAx>
      <c:valAx>
        <c:axId val="624400008"/>
        <c:scaling>
          <c:logBase val="10"/>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Calculated Static Rotation at Ends (radians) </a:t>
                </a:r>
                <a:endParaRPr lang="en-US" sz="1400">
                  <a:effectLst/>
                </a:endParaRPr>
              </a:p>
            </c:rich>
          </c:tx>
          <c:layout>
            <c:manualLayout>
              <c:xMode val="edge"/>
              <c:yMode val="edge"/>
              <c:x val="1.0561083871193897E-2"/>
              <c:y val="0.19738833927810306"/>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minorUnit val="0.5"/>
      </c:valAx>
      <c:spPr>
        <a:noFill/>
        <a:ln w="12700">
          <a:solidFill>
            <a:srgbClr val="808080"/>
          </a:solidFill>
          <a:prstDash val="solid"/>
        </a:ln>
        <a:effectLst/>
      </c:spPr>
    </c:plotArea>
    <c:legend>
      <c:legendPos val="r"/>
      <c:layout>
        <c:manualLayout>
          <c:xMode val="edge"/>
          <c:yMode val="edge"/>
          <c:x val="0.83921522747886901"/>
          <c:y val="3.8523752906955006E-2"/>
          <c:w val="0.13559291732940729"/>
          <c:h val="0.28563220195766126"/>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79648933699651E-2"/>
          <c:y val="2.4349477682811017E-2"/>
          <c:w val="0.71535288472914171"/>
          <c:h val="0.86113960113960109"/>
        </c:manualLayout>
      </c:layout>
      <c:scatterChart>
        <c:scatterStyle val="lineMarker"/>
        <c:varyColors val="0"/>
        <c:ser>
          <c:idx val="6"/>
          <c:order val="0"/>
          <c:tx>
            <c:v>Ormen Lange</c:v>
          </c:tx>
          <c:spPr>
            <a:ln w="25400" cap="rnd">
              <a:noFill/>
              <a:round/>
            </a:ln>
            <a:effectLst/>
          </c:spPr>
          <c:marker>
            <c:symbol val="circle"/>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numRef>
          </c:xVal>
          <c:yVal>
            <c:numRef>
              <c:f>m!$AF$99:$AO$99</c:f>
              <c:numCache>
                <c:formatCode>General</c:formatCode>
                <c:ptCount val="10"/>
                <c:pt idx="6">
                  <c:v>15.552279991221374</c:v>
                </c:pt>
                <c:pt idx="7">
                  <c:v>24.663136603214756</c:v>
                </c:pt>
                <c:pt idx="8">
                  <c:v>29.815214976028731</c:v>
                </c:pt>
                <c:pt idx="9">
                  <c:v>34.711685593277487</c:v>
                </c:pt>
              </c:numCache>
            </c:numRef>
          </c:yVal>
          <c:smooth val="0"/>
          <c:extLst>
            <c:ext xmlns:c16="http://schemas.microsoft.com/office/drawing/2014/chart" uri="{C3380CC4-5D6E-409C-BE32-E72D297353CC}">
              <c16:uniqueId val="{00000000-3BA6-40A0-ACDE-2ED26293B6DE}"/>
            </c:ext>
          </c:extLst>
        </c:ser>
        <c:ser>
          <c:idx val="7"/>
          <c:order val="1"/>
          <c:tx>
            <c:v>ExxonMobil</c:v>
          </c:tx>
          <c:spPr>
            <a:ln w="25400" cap="rnd">
              <a:noFill/>
              <a:round/>
            </a:ln>
            <a:effectLst/>
          </c:spPr>
          <c:marker>
            <c:symbol val="circle"/>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f>m!$AP$99:$BL$99</c:f>
              <c:numCache>
                <c:formatCode>General</c:formatCode>
                <c:ptCount val="23"/>
                <c:pt idx="0">
                  <c:v>90</c:v>
                </c:pt>
                <c:pt idx="1">
                  <c:v>90</c:v>
                </c:pt>
                <c:pt idx="2">
                  <c:v>90</c:v>
                </c:pt>
                <c:pt idx="4">
                  <c:v>90</c:v>
                </c:pt>
                <c:pt idx="6">
                  <c:v>90</c:v>
                </c:pt>
                <c:pt idx="12">
                  <c:v>90</c:v>
                </c:pt>
              </c:numCache>
            </c:numRef>
          </c:yVal>
          <c:smooth val="0"/>
          <c:extLst>
            <c:ext xmlns:c16="http://schemas.microsoft.com/office/drawing/2014/chart" uri="{C3380CC4-5D6E-409C-BE32-E72D297353CC}">
              <c16:uniqueId val="{00000001-3BA6-40A0-ACDE-2ED26293B6DE}"/>
            </c:ext>
          </c:extLst>
        </c:ser>
        <c:ser>
          <c:idx val="12"/>
          <c:order val="2"/>
          <c:tx>
            <c:v>Pipe 1</c:v>
          </c:tx>
          <c:spPr>
            <a:ln w="25400" cap="rnd">
              <a:noFill/>
              <a:round/>
            </a:ln>
            <a:effectLst/>
          </c:spPr>
          <c:marker>
            <c:symbol val="circle"/>
            <c:size val="8"/>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numRef>
          </c:xVal>
          <c:yVal>
            <c:numRef>
              <c:f>m!$BM$99:$CO$99</c:f>
              <c:numCache>
                <c:formatCode>General</c:formatCode>
                <c:ptCount val="29"/>
                <c:pt idx="0">
                  <c:v>65.150264884378757</c:v>
                </c:pt>
                <c:pt idx="1">
                  <c:v>84.074701260276839</c:v>
                </c:pt>
                <c:pt idx="3">
                  <c:v>58.78586358217715</c:v>
                </c:pt>
                <c:pt idx="4">
                  <c:v>73.160108550867719</c:v>
                </c:pt>
                <c:pt idx="5">
                  <c:v>72.50212179544269</c:v>
                </c:pt>
                <c:pt idx="6">
                  <c:v>80.362803453156289</c:v>
                </c:pt>
                <c:pt idx="7">
                  <c:v>83.162382622085332</c:v>
                </c:pt>
                <c:pt idx="8">
                  <c:v>84.583847738693592</c:v>
                </c:pt>
                <c:pt idx="9">
                  <c:v>85.220419223971192</c:v>
                </c:pt>
                <c:pt idx="10">
                  <c:v>86.6985903538</c:v>
                </c:pt>
                <c:pt idx="11">
                  <c:v>87.209579252902898</c:v>
                </c:pt>
                <c:pt idx="12">
                  <c:v>87.763219888886226</c:v>
                </c:pt>
                <c:pt idx="13">
                  <c:v>55.934938508249431</c:v>
                </c:pt>
                <c:pt idx="14">
                  <c:v>84.86583156020896</c:v>
                </c:pt>
                <c:pt idx="15">
                  <c:v>83.707507896310275</c:v>
                </c:pt>
                <c:pt idx="16">
                  <c:v>87.536728720768849</c:v>
                </c:pt>
                <c:pt idx="17">
                  <c:v>87.979366115312615</c:v>
                </c:pt>
                <c:pt idx="18">
                  <c:v>88.145863558745063</c:v>
                </c:pt>
                <c:pt idx="19">
                  <c:v>88.284363903287655</c:v>
                </c:pt>
              </c:numCache>
            </c:numRef>
          </c:yVal>
          <c:smooth val="0"/>
          <c:extLst>
            <c:ext xmlns:c16="http://schemas.microsoft.com/office/drawing/2014/chart" uri="{C3380CC4-5D6E-409C-BE32-E72D297353CC}">
              <c16:uniqueId val="{00000002-3BA6-40A0-ACDE-2ED26293B6DE}"/>
            </c:ext>
          </c:extLst>
        </c:ser>
        <c:ser>
          <c:idx val="14"/>
          <c:order val="3"/>
          <c:tx>
            <c:v>Pipe 2</c:v>
          </c:tx>
          <c:spPr>
            <a:ln w="25400" cap="rnd">
              <a:noFill/>
              <a:round/>
            </a:ln>
            <a:effectLst/>
          </c:spPr>
          <c:marker>
            <c:symbol val="circle"/>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numRef>
          </c:xVal>
          <c:yVal>
            <c:numRef>
              <c:f>m!$CP$99:$DT$99</c:f>
              <c:numCache>
                <c:formatCode>General</c:formatCode>
                <c:ptCount val="31"/>
                <c:pt idx="0">
                  <c:v>34.865005417648838</c:v>
                </c:pt>
                <c:pt idx="1">
                  <c:v>51.677049127993918</c:v>
                </c:pt>
                <c:pt idx="2">
                  <c:v>58.744029529141748</c:v>
                </c:pt>
                <c:pt idx="3">
                  <c:v>69.514879820300692</c:v>
                </c:pt>
                <c:pt idx="4">
                  <c:v>73.641694521683974</c:v>
                </c:pt>
                <c:pt idx="5">
                  <c:v>75.673515392044436</c:v>
                </c:pt>
                <c:pt idx="6">
                  <c:v>78.321736101042148</c:v>
                </c:pt>
                <c:pt idx="7">
                  <c:v>81.355893326841695</c:v>
                </c:pt>
                <c:pt idx="8">
                  <c:v>82.854071662903451</c:v>
                </c:pt>
                <c:pt idx="9">
                  <c:v>83.237935558310568</c:v>
                </c:pt>
                <c:pt idx="10">
                  <c:v>84.421905836437887</c:v>
                </c:pt>
                <c:pt idx="11">
                  <c:v>84.983566112333264</c:v>
                </c:pt>
                <c:pt idx="12">
                  <c:v>85.810480683321586</c:v>
                </c:pt>
                <c:pt idx="14">
                  <c:v>85.393364497272643</c:v>
                </c:pt>
                <c:pt idx="15">
                  <c:v>17.722451909789172</c:v>
                </c:pt>
                <c:pt idx="18">
                  <c:v>86.155078236590882</c:v>
                </c:pt>
                <c:pt idx="19">
                  <c:v>86.843804047412846</c:v>
                </c:pt>
                <c:pt idx="20">
                  <c:v>87.364319593750992</c:v>
                </c:pt>
                <c:pt idx="21">
                  <c:v>87.76842258785237</c:v>
                </c:pt>
                <c:pt idx="22">
                  <c:v>88.123038519384906</c:v>
                </c:pt>
                <c:pt idx="23">
                  <c:v>8.6493645473778873</c:v>
                </c:pt>
                <c:pt idx="24">
                  <c:v>11.595318783912596</c:v>
                </c:pt>
                <c:pt idx="25">
                  <c:v>18.652481207512476</c:v>
                </c:pt>
                <c:pt idx="26">
                  <c:v>34.276718732814928</c:v>
                </c:pt>
                <c:pt idx="27">
                  <c:v>18.655976732374047</c:v>
                </c:pt>
                <c:pt idx="28">
                  <c:v>85.052779014626282</c:v>
                </c:pt>
                <c:pt idx="29">
                  <c:v>86.491555836167876</c:v>
                </c:pt>
              </c:numCache>
            </c:numRef>
          </c:yVal>
          <c:smooth val="0"/>
          <c:extLst>
            <c:ext xmlns:c16="http://schemas.microsoft.com/office/drawing/2014/chart" uri="{C3380CC4-5D6E-409C-BE32-E72D297353CC}">
              <c16:uniqueId val="{00000003-3BA6-40A0-ACDE-2ED26293B6DE}"/>
            </c:ext>
          </c:extLst>
        </c:ser>
        <c:ser>
          <c:idx val="8"/>
          <c:order val="4"/>
          <c:tx>
            <c:v>Pipe 3 Smooth</c:v>
          </c:tx>
          <c:spPr>
            <a:ln w="25400" cap="rnd">
              <a:noFill/>
              <a:round/>
            </a:ln>
            <a:effectLst/>
          </c:spPr>
          <c:marker>
            <c:symbol val="circle"/>
            <c:size val="7"/>
            <c:spPr>
              <a:noFill/>
              <a:ln w="15875">
                <a:solidFill>
                  <a:schemeClr val="accent2"/>
                </a:solidFill>
              </a:ln>
              <a:effectLst/>
            </c:spPr>
          </c:marker>
          <c:xVal>
            <c:numRef>
              <c:f>m!$DU$86:$DX$86</c:f>
              <c:numCache>
                <c:formatCode>General</c:formatCode>
                <c:ptCount val="4"/>
                <c:pt idx="1">
                  <c:v>3.8469075681895233</c:v>
                </c:pt>
              </c:numCache>
            </c:numRef>
          </c:xVal>
          <c:yVal>
            <c:numRef>
              <c:f>m!$DU$99:$DX$99</c:f>
              <c:numCache>
                <c:formatCode>General</c:formatCode>
                <c:ptCount val="4"/>
                <c:pt idx="1">
                  <c:v>76.202294229334612</c:v>
                </c:pt>
              </c:numCache>
            </c:numRef>
          </c:yVal>
          <c:smooth val="0"/>
          <c:extLst>
            <c:ext xmlns:c16="http://schemas.microsoft.com/office/drawing/2014/chart" uri="{C3380CC4-5D6E-409C-BE32-E72D297353CC}">
              <c16:uniqueId val="{00000004-3BA6-40A0-ACDE-2ED26293B6DE}"/>
            </c:ext>
          </c:extLst>
        </c:ser>
        <c:ser>
          <c:idx val="10"/>
          <c:order val="5"/>
          <c:tx>
            <c:v>Pipe 3 Rough</c:v>
          </c:tx>
          <c:spPr>
            <a:ln w="25400" cap="rnd">
              <a:noFill/>
              <a:round/>
            </a:ln>
            <a:effectLst/>
          </c:spPr>
          <c:marker>
            <c:symbol val="circle"/>
            <c:size val="5"/>
            <c:spPr>
              <a:noFill/>
              <a:ln w="1905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m!$DY$99:$EL$99</c:f>
              <c:numCache>
                <c:formatCode>General</c:formatCode>
                <c:ptCount val="14"/>
                <c:pt idx="0">
                  <c:v>47.397305839882812</c:v>
                </c:pt>
                <c:pt idx="1">
                  <c:v>71.03781740122426</c:v>
                </c:pt>
                <c:pt idx="2">
                  <c:v>74.467960751644313</c:v>
                </c:pt>
                <c:pt idx="3">
                  <c:v>79.644697268320797</c:v>
                </c:pt>
                <c:pt idx="4">
                  <c:v>81.03383742692796</c:v>
                </c:pt>
                <c:pt idx="5">
                  <c:v>82.903250040996681</c:v>
                </c:pt>
                <c:pt idx="6">
                  <c:v>84.576383809409549</c:v>
                </c:pt>
                <c:pt idx="7">
                  <c:v>84.749467356164828</c:v>
                </c:pt>
                <c:pt idx="8">
                  <c:v>85.327438691672995</c:v>
                </c:pt>
                <c:pt idx="10">
                  <c:v>87.076525533900551</c:v>
                </c:pt>
                <c:pt idx="11">
                  <c:v>87.63990133277845</c:v>
                </c:pt>
                <c:pt idx="13">
                  <c:v>85.372327893141644</c:v>
                </c:pt>
              </c:numCache>
            </c:numRef>
          </c:yVal>
          <c:smooth val="0"/>
          <c:extLst>
            <c:ext xmlns:c16="http://schemas.microsoft.com/office/drawing/2014/chart" uri="{C3380CC4-5D6E-409C-BE32-E72D297353CC}">
              <c16:uniqueId val="{00000005-3BA6-40A0-ACDE-2ED26293B6DE}"/>
            </c:ext>
          </c:extLst>
        </c:ser>
        <c:dLbls>
          <c:showLegendKey val="0"/>
          <c:showVal val="0"/>
          <c:showCatName val="0"/>
          <c:showSerName val="0"/>
          <c:showPercent val="0"/>
          <c:showBubbleSize val="0"/>
        </c:dLbls>
        <c:axId val="624399680"/>
        <c:axId val="624400008"/>
        <c:extLst/>
      </c:scatterChart>
      <c:valAx>
        <c:axId val="624399680"/>
        <c:scaling>
          <c:logBase val="10"/>
          <c:orientation val="minMax"/>
          <c:max val="9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s-ES" sz="1400" b="0" i="0" u="none" strike="noStrike" baseline="0">
                    <a:effectLst/>
                  </a:rPr>
                  <a:t>Normalized Span Length, L̃ = L/L</a:t>
                </a:r>
                <a:r>
                  <a:rPr lang="es-ES" sz="1400" b="0" i="0" u="none" strike="noStrike" baseline="-25000">
                    <a:effectLst/>
                  </a:rPr>
                  <a:t>st</a:t>
                </a:r>
                <a:endParaRPr lang="en-US" sz="1800">
                  <a:effectLst/>
                </a:endParaRPr>
              </a:p>
            </c:rich>
          </c:tx>
          <c:layout>
            <c:manualLayout>
              <c:xMode val="edge"/>
              <c:yMode val="edge"/>
              <c:x val="0.29272479504335747"/>
              <c:y val="0.95118708452041789"/>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At val="1.0000000000000002E-3"/>
        <c:crossBetween val="midCat"/>
      </c:valAx>
      <c:valAx>
        <c:axId val="624400008"/>
        <c:scaling>
          <c:orientation val="minMax"/>
          <c:max val="90"/>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Calculated Angle θ of the Static Plane from Vertical (°)</a:t>
                </a:r>
                <a:endParaRPr lang="en-US" sz="1400">
                  <a:effectLst/>
                </a:endParaRPr>
              </a:p>
            </c:rich>
          </c:tx>
          <c:layout>
            <c:manualLayout>
              <c:xMode val="edge"/>
              <c:yMode val="edge"/>
              <c:x val="1.612591414387058E-2"/>
              <c:y val="0.138508947065377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majorUnit val="15"/>
        <c:minorUnit val="5"/>
      </c:valAx>
      <c:spPr>
        <a:noFill/>
        <a:ln w="12700">
          <a:solidFill>
            <a:srgbClr val="808080"/>
          </a:solidFill>
          <a:prstDash val="solid"/>
        </a:ln>
        <a:effectLst/>
      </c:spPr>
    </c:plotArea>
    <c:legend>
      <c:legendPos val="r"/>
      <c:layout>
        <c:manualLayout>
          <c:xMode val="edge"/>
          <c:yMode val="edge"/>
          <c:x val="0.83921522747886901"/>
          <c:y val="3.8523752906955006E-2"/>
          <c:w val="0.13559291732940729"/>
          <c:h val="0.28563220195766126"/>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270411315447027E-2"/>
          <c:y val="2.0550807217473883E-2"/>
          <c:w val="0.70088432602018247"/>
          <c:h val="0.86113960113960109"/>
        </c:manualLayout>
      </c:layout>
      <c:scatterChart>
        <c:scatterStyle val="lineMarker"/>
        <c:varyColors val="0"/>
        <c:ser>
          <c:idx val="6"/>
          <c:order val="0"/>
          <c:tx>
            <c:v>Ormen Lange</c:v>
          </c:tx>
          <c:spPr>
            <a:ln w="25400" cap="rnd">
              <a:noFill/>
              <a:round/>
            </a:ln>
            <a:effectLst/>
          </c:spPr>
          <c:marker>
            <c:symbol val="circle"/>
            <c:size val="7"/>
            <c:spPr>
              <a:noFill/>
              <a:ln w="15875">
                <a:solidFill>
                  <a:schemeClr val="tx1"/>
                </a:solidFill>
              </a:ln>
              <a:effectLst/>
            </c:spPr>
          </c:marker>
          <c:xVal>
            <c:numRef>
              <c:f>m!$AF$86:$AO$86</c:f>
              <c:numCache>
                <c:formatCode>General</c:formatCode>
                <c:ptCount val="10"/>
                <c:pt idx="6">
                  <c:v>2.60569650261762</c:v>
                </c:pt>
                <c:pt idx="7">
                  <c:v>2.8052504067622763</c:v>
                </c:pt>
                <c:pt idx="8">
                  <c:v>2.9780821140943421</c:v>
                </c:pt>
                <c:pt idx="9">
                  <c:v>3.163643721763262</c:v>
                </c:pt>
              </c:numCache>
            </c:numRef>
          </c:xVal>
          <c:yVal>
            <c:numRef>
              <c:f>m!$AF$97:$AO$97</c:f>
              <c:numCache>
                <c:formatCode>General</c:formatCode>
                <c:ptCount val="10"/>
                <c:pt idx="6">
                  <c:v>5739.5247199186842</c:v>
                </c:pt>
                <c:pt idx="7">
                  <c:v>6496.5831045448413</c:v>
                </c:pt>
                <c:pt idx="8">
                  <c:v>7180.5339851740528</c:v>
                </c:pt>
                <c:pt idx="9">
                  <c:v>7970.3576585245792</c:v>
                </c:pt>
              </c:numCache>
            </c:numRef>
          </c:yVal>
          <c:smooth val="0"/>
          <c:extLst>
            <c:ext xmlns:c16="http://schemas.microsoft.com/office/drawing/2014/chart" uri="{C3380CC4-5D6E-409C-BE32-E72D297353CC}">
              <c16:uniqueId val="{00000000-5EA1-42D9-9195-E41E97247118}"/>
            </c:ext>
          </c:extLst>
        </c:ser>
        <c:ser>
          <c:idx val="7"/>
          <c:order val="1"/>
          <c:tx>
            <c:v>ExxonMobil</c:v>
          </c:tx>
          <c:spPr>
            <a:ln w="25400" cap="rnd">
              <a:noFill/>
              <a:round/>
            </a:ln>
            <a:effectLst/>
          </c:spPr>
          <c:marker>
            <c:symbol val="circle"/>
            <c:size val="7"/>
            <c:spPr>
              <a:noFill/>
              <a:ln w="15875">
                <a:solidFill>
                  <a:schemeClr val="accent3"/>
                </a:solidFill>
              </a:ln>
              <a:effectLst/>
            </c:spPr>
          </c:marker>
          <c:xVal>
            <c:numRef>
              <c:f>m!$AP$86:$BL$86</c:f>
              <c:numCache>
                <c:formatCode>General</c:formatCode>
                <c:ptCount val="23"/>
                <c:pt idx="0">
                  <c:v>1.4268091136433669</c:v>
                </c:pt>
                <c:pt idx="1">
                  <c:v>1.9979105111592506</c:v>
                </c:pt>
                <c:pt idx="2">
                  <c:v>2.8565719045612186</c:v>
                </c:pt>
                <c:pt idx="3">
                  <c:v>3.6140894327455704</c:v>
                </c:pt>
                <c:pt idx="4">
                  <c:v>4.3011107499673757</c:v>
                </c:pt>
                <c:pt idx="6">
                  <c:v>5.3877687842899373</c:v>
                </c:pt>
                <c:pt idx="12">
                  <c:v>7.5190353846908184</c:v>
                </c:pt>
                <c:pt idx="19">
                  <c:v>1.741607828169798</c:v>
                </c:pt>
                <c:pt idx="20">
                  <c:v>2.459126810012223</c:v>
                </c:pt>
                <c:pt idx="21">
                  <c:v>2.026625790993418</c:v>
                </c:pt>
              </c:numCache>
            </c:numRef>
          </c:xVal>
          <c:yVal>
            <c:numRef>
              <c:f>m!$AP$97:$BL$97</c:f>
              <c:numCache>
                <c:formatCode>General</c:formatCode>
                <c:ptCount val="23"/>
                <c:pt idx="0">
                  <c:v>3524.084561648076</c:v>
                </c:pt>
                <c:pt idx="1">
                  <c:v>5018.3429157745204</c:v>
                </c:pt>
                <c:pt idx="2">
                  <c:v>7444.4856278180305</c:v>
                </c:pt>
                <c:pt idx="3">
                  <c:v>9796.5523160729572</c:v>
                </c:pt>
                <c:pt idx="4">
                  <c:v>12188.93422593086</c:v>
                </c:pt>
                <c:pt idx="6">
                  <c:v>16937.926893855139</c:v>
                </c:pt>
                <c:pt idx="12">
                  <c:v>28488.355262427711</c:v>
                </c:pt>
                <c:pt idx="19">
                  <c:v>4315.5422089456424</c:v>
                </c:pt>
                <c:pt idx="20">
                  <c:v>6242.1820598220374</c:v>
                </c:pt>
                <c:pt idx="21">
                  <c:v>5052.838841899249</c:v>
                </c:pt>
              </c:numCache>
            </c:numRef>
          </c:yVal>
          <c:smooth val="0"/>
          <c:extLst>
            <c:ext xmlns:c16="http://schemas.microsoft.com/office/drawing/2014/chart" uri="{C3380CC4-5D6E-409C-BE32-E72D297353CC}">
              <c16:uniqueId val="{00000001-5EA1-42D9-9195-E41E97247118}"/>
            </c:ext>
          </c:extLst>
        </c:ser>
        <c:ser>
          <c:idx val="12"/>
          <c:order val="2"/>
          <c:tx>
            <c:v>Pipe 1</c:v>
          </c:tx>
          <c:spPr>
            <a:ln w="25400" cap="rnd">
              <a:noFill/>
              <a:round/>
            </a:ln>
            <a:effectLst/>
          </c:spPr>
          <c:marker>
            <c:symbol val="circle"/>
            <c:size val="8"/>
            <c:spPr>
              <a:noFill/>
              <a:ln w="15875">
                <a:solidFill>
                  <a:schemeClr val="accent6"/>
                </a:solidFill>
              </a:ln>
              <a:effectLst/>
            </c:spPr>
          </c:marker>
          <c:xVal>
            <c:numRef>
              <c:f>m!$BM$86:$CO$86</c:f>
              <c:numCache>
                <c:formatCode>General</c:formatCode>
                <c:ptCount val="29"/>
                <c:pt idx="0">
                  <c:v>17.341819199350411</c:v>
                </c:pt>
                <c:pt idx="1">
                  <c:v>25.687502106855938</c:v>
                </c:pt>
                <c:pt idx="3">
                  <c:v>13.822834322851989</c:v>
                </c:pt>
                <c:pt idx="4">
                  <c:v>16.211924073858711</c:v>
                </c:pt>
                <c:pt idx="5">
                  <c:v>18.833363464548963</c:v>
                </c:pt>
                <c:pt idx="6">
                  <c:v>20.63255879519469</c:v>
                </c:pt>
                <c:pt idx="7">
                  <c:v>22.261627350303019</c:v>
                </c:pt>
                <c:pt idx="8">
                  <c:v>23.851132947231889</c:v>
                </c:pt>
                <c:pt idx="9">
                  <c:v>25.606213423191516</c:v>
                </c:pt>
                <c:pt idx="10">
                  <c:v>28.114385319029473</c:v>
                </c:pt>
                <c:pt idx="11">
                  <c:v>29.234215682007001</c:v>
                </c:pt>
                <c:pt idx="12">
                  <c:v>29.788799658082734</c:v>
                </c:pt>
                <c:pt idx="13">
                  <c:v>14.167570151394056</c:v>
                </c:pt>
                <c:pt idx="14">
                  <c:v>23.897422629113926</c:v>
                </c:pt>
                <c:pt idx="15">
                  <c:v>23.98899211959225</c:v>
                </c:pt>
                <c:pt idx="16">
                  <c:v>29.976832891026625</c:v>
                </c:pt>
                <c:pt idx="17">
                  <c:v>30.926427122046618</c:v>
                </c:pt>
                <c:pt idx="18">
                  <c:v>32.179294624129149</c:v>
                </c:pt>
                <c:pt idx="19">
                  <c:v>33.359726870316962</c:v>
                </c:pt>
              </c:numCache>
            </c:numRef>
          </c:xVal>
          <c:yVal>
            <c:numRef>
              <c:f>m!$BM$97:$CO$97</c:f>
              <c:numCache>
                <c:formatCode>General</c:formatCode>
                <c:ptCount val="29"/>
                <c:pt idx="0">
                  <c:v>4721.7074193452527</c:v>
                </c:pt>
                <c:pt idx="1">
                  <c:v>9726.6372881437601</c:v>
                </c:pt>
                <c:pt idx="3">
                  <c:v>5272.0377319737481</c:v>
                </c:pt>
                <c:pt idx="4">
                  <c:v>6326.0436058044424</c:v>
                </c:pt>
                <c:pt idx="5">
                  <c:v>7378.261340291876</c:v>
                </c:pt>
                <c:pt idx="6">
                  <c:v>8435.2530931171605</c:v>
                </c:pt>
                <c:pt idx="7">
                  <c:v>9486.2737153705784</c:v>
                </c:pt>
                <c:pt idx="8">
                  <c:v>10542.451707940352</c:v>
                </c:pt>
                <c:pt idx="9">
                  <c:v>11597.613284462375</c:v>
                </c:pt>
                <c:pt idx="10">
                  <c:v>13706.039127550626</c:v>
                </c:pt>
                <c:pt idx="11">
                  <c:v>14760.071352908484</c:v>
                </c:pt>
                <c:pt idx="12">
                  <c:v>15814.889104742751</c:v>
                </c:pt>
                <c:pt idx="13">
                  <c:v>5273.1921798304502</c:v>
                </c:pt>
                <c:pt idx="14">
                  <c:v>10545.059254294947</c:v>
                </c:pt>
                <c:pt idx="15">
                  <c:v>10280.193780597887</c:v>
                </c:pt>
                <c:pt idx="16">
                  <c:v>15558.447335895738</c:v>
                </c:pt>
                <c:pt idx="17">
                  <c:v>16869.430792959109</c:v>
                </c:pt>
                <c:pt idx="18">
                  <c:v>17922.500560158176</c:v>
                </c:pt>
                <c:pt idx="19">
                  <c:v>18977.451324462891</c:v>
                </c:pt>
              </c:numCache>
            </c:numRef>
          </c:yVal>
          <c:smooth val="0"/>
          <c:extLst>
            <c:ext xmlns:c16="http://schemas.microsoft.com/office/drawing/2014/chart" uri="{C3380CC4-5D6E-409C-BE32-E72D297353CC}">
              <c16:uniqueId val="{00000002-5EA1-42D9-9195-E41E97247118}"/>
            </c:ext>
          </c:extLst>
        </c:ser>
        <c:ser>
          <c:idx val="14"/>
          <c:order val="3"/>
          <c:tx>
            <c:v>Pipe 2</c:v>
          </c:tx>
          <c:spPr>
            <a:ln w="25400" cap="rnd">
              <a:noFill/>
              <a:round/>
            </a:ln>
            <a:effectLst/>
          </c:spPr>
          <c:marker>
            <c:symbol val="circle"/>
            <c:size val="7"/>
            <c:spPr>
              <a:noFill/>
              <a:ln w="15875">
                <a:solidFill>
                  <a:srgbClr val="00B0F0"/>
                </a:solidFill>
              </a:ln>
              <a:effectLst/>
            </c:spPr>
          </c:marker>
          <c:xVal>
            <c:numRef>
              <c:f>m!$CP$86:$DT$86</c:f>
              <c:numCache>
                <c:formatCode>General</c:formatCode>
                <c:ptCount val="31"/>
                <c:pt idx="0">
                  <c:v>5.8661634412927928</c:v>
                </c:pt>
                <c:pt idx="1">
                  <c:v>7.0650060736018858</c:v>
                </c:pt>
                <c:pt idx="2">
                  <c:v>8.1916384448878805</c:v>
                </c:pt>
                <c:pt idx="3">
                  <c:v>8.9443478945078017</c:v>
                </c:pt>
                <c:pt idx="4">
                  <c:v>9.7507690726174143</c:v>
                </c:pt>
                <c:pt idx="5">
                  <c:v>10.622302057822987</c:v>
                </c:pt>
                <c:pt idx="6">
                  <c:v>11.267337261488793</c:v>
                </c:pt>
                <c:pt idx="7">
                  <c:v>11.605785556257139</c:v>
                </c:pt>
                <c:pt idx="8">
                  <c:v>12.072625761854809</c:v>
                </c:pt>
                <c:pt idx="9">
                  <c:v>12.848768541931234</c:v>
                </c:pt>
                <c:pt idx="10">
                  <c:v>13.178523173139359</c:v>
                </c:pt>
                <c:pt idx="11">
                  <c:v>13.704845767474131</c:v>
                </c:pt>
                <c:pt idx="12">
                  <c:v>13.946545832467923</c:v>
                </c:pt>
                <c:pt idx="14">
                  <c:v>14.021906647870745</c:v>
                </c:pt>
                <c:pt idx="15">
                  <c:v>4.8078274145166153</c:v>
                </c:pt>
                <c:pt idx="18">
                  <c:v>15.509495728392983</c:v>
                </c:pt>
                <c:pt idx="19">
                  <c:v>16.226976955639152</c:v>
                </c:pt>
                <c:pt idx="20">
                  <c:v>16.886382007823471</c:v>
                </c:pt>
                <c:pt idx="21">
                  <c:v>17.502223209701484</c:v>
                </c:pt>
                <c:pt idx="22">
                  <c:v>17.98762575710132</c:v>
                </c:pt>
                <c:pt idx="23">
                  <c:v>3.0011205007855488</c:v>
                </c:pt>
                <c:pt idx="24">
                  <c:v>4.4377816690859024</c:v>
                </c:pt>
                <c:pt idx="25">
                  <c:v>3.5901063700284865</c:v>
                </c:pt>
                <c:pt idx="26">
                  <c:v>5.2522795455737761</c:v>
                </c:pt>
                <c:pt idx="27">
                  <c:v>4.1600088468528016</c:v>
                </c:pt>
                <c:pt idx="28">
                  <c:v>16.458823841889224</c:v>
                </c:pt>
                <c:pt idx="29">
                  <c:v>17.506191004392292</c:v>
                </c:pt>
              </c:numCache>
            </c:numRef>
          </c:xVal>
          <c:yVal>
            <c:numRef>
              <c:f>m!$CP$97:$DT$97</c:f>
              <c:numCache>
                <c:formatCode>General</c:formatCode>
                <c:ptCount val="31"/>
                <c:pt idx="0">
                  <c:v>10543.522866148696</c:v>
                </c:pt>
                <c:pt idx="1">
                  <c:v>13179.997080250789</c:v>
                </c:pt>
                <c:pt idx="2">
                  <c:v>15821.998056612516</c:v>
                </c:pt>
                <c:pt idx="3">
                  <c:v>18448.555155804279</c:v>
                </c:pt>
                <c:pt idx="4">
                  <c:v>21086.837116040679</c:v>
                </c:pt>
                <c:pt idx="5">
                  <c:v>23724.276768533804</c:v>
                </c:pt>
                <c:pt idx="6">
                  <c:v>26354.516807355376</c:v>
                </c:pt>
                <c:pt idx="7">
                  <c:v>28996.417396946956</c:v>
                </c:pt>
                <c:pt idx="8">
                  <c:v>31627.313086861053</c:v>
                </c:pt>
                <c:pt idx="9">
                  <c:v>34271.139847604849</c:v>
                </c:pt>
                <c:pt idx="10">
                  <c:v>36899.111772838391</c:v>
                </c:pt>
                <c:pt idx="11">
                  <c:v>39541.100200853849</c:v>
                </c:pt>
                <c:pt idx="12">
                  <c:v>42167.456526505317</c:v>
                </c:pt>
                <c:pt idx="14">
                  <c:v>42166.355409120253</c:v>
                </c:pt>
                <c:pt idx="15">
                  <c:v>7907.3004032436156</c:v>
                </c:pt>
                <c:pt idx="18">
                  <c:v>44812.356170855062</c:v>
                </c:pt>
                <c:pt idx="19">
                  <c:v>50089.080082742781</c:v>
                </c:pt>
                <c:pt idx="20">
                  <c:v>55348.208076075498</c:v>
                </c:pt>
                <c:pt idx="21">
                  <c:v>60637.185448094409</c:v>
                </c:pt>
                <c:pt idx="22">
                  <c:v>65929.506954393888</c:v>
                </c:pt>
                <c:pt idx="23">
                  <c:v>5271.2312654445032</c:v>
                </c:pt>
                <c:pt idx="24">
                  <c:v>7908.2242752376351</c:v>
                </c:pt>
                <c:pt idx="25">
                  <c:v>6328.2910146211316</c:v>
                </c:pt>
                <c:pt idx="26">
                  <c:v>9490.3166356839611</c:v>
                </c:pt>
                <c:pt idx="27">
                  <c:v>7380.2353520142387</c:v>
                </c:pt>
                <c:pt idx="28">
                  <c:v>39536.231442501667</c:v>
                </c:pt>
                <c:pt idx="29">
                  <c:v>47447.421048816876</c:v>
                </c:pt>
              </c:numCache>
            </c:numRef>
          </c:yVal>
          <c:smooth val="0"/>
          <c:extLst>
            <c:ext xmlns:c16="http://schemas.microsoft.com/office/drawing/2014/chart" uri="{C3380CC4-5D6E-409C-BE32-E72D297353CC}">
              <c16:uniqueId val="{00000003-5EA1-42D9-9195-E41E97247118}"/>
            </c:ext>
          </c:extLst>
        </c:ser>
        <c:ser>
          <c:idx val="8"/>
          <c:order val="4"/>
          <c:tx>
            <c:v>Pipe 3 Smooth</c:v>
          </c:tx>
          <c:spPr>
            <a:ln w="25400" cap="rnd">
              <a:noFill/>
              <a:round/>
            </a:ln>
            <a:effectLst/>
          </c:spPr>
          <c:marker>
            <c:symbol val="circle"/>
            <c:size val="7"/>
            <c:spPr>
              <a:noFill/>
              <a:ln w="15875">
                <a:solidFill>
                  <a:schemeClr val="accent2"/>
                </a:solidFill>
              </a:ln>
              <a:effectLst/>
            </c:spPr>
          </c:marker>
          <c:xVal>
            <c:numRef>
              <c:f>m!$DU$86:$DX$86</c:f>
              <c:numCache>
                <c:formatCode>General</c:formatCode>
                <c:ptCount val="4"/>
                <c:pt idx="1">
                  <c:v>3.8469075681895233</c:v>
                </c:pt>
              </c:numCache>
            </c:numRef>
          </c:xVal>
          <c:yVal>
            <c:numRef>
              <c:f>m!$DU$97:$DX$97</c:f>
              <c:numCache>
                <c:formatCode>General</c:formatCode>
                <c:ptCount val="4"/>
                <c:pt idx="1">
                  <c:v>35151.552735713485</c:v>
                </c:pt>
              </c:numCache>
            </c:numRef>
          </c:yVal>
          <c:smooth val="0"/>
          <c:extLst>
            <c:ext xmlns:c16="http://schemas.microsoft.com/office/drawing/2014/chart" uri="{C3380CC4-5D6E-409C-BE32-E72D297353CC}">
              <c16:uniqueId val="{00000004-5EA1-42D9-9195-E41E97247118}"/>
            </c:ext>
          </c:extLst>
        </c:ser>
        <c:ser>
          <c:idx val="10"/>
          <c:order val="5"/>
          <c:tx>
            <c:v>Pipe 3 Rough</c:v>
          </c:tx>
          <c:spPr>
            <a:ln w="25400" cap="rnd">
              <a:noFill/>
              <a:round/>
            </a:ln>
            <a:effectLst/>
          </c:spPr>
          <c:marker>
            <c:symbol val="circle"/>
            <c:size val="5"/>
            <c:spPr>
              <a:noFill/>
              <a:ln w="19050">
                <a:solidFill>
                  <a:schemeClr val="accent4"/>
                </a:solidFill>
              </a:ln>
              <a:effectLst/>
            </c:spPr>
          </c:marker>
          <c:xVal>
            <c:numRef>
              <c:f>m!$DY$86:$EL$86</c:f>
              <c:numCache>
                <c:formatCode>General</c:formatCode>
                <c:ptCount val="14"/>
                <c:pt idx="0">
                  <c:v>2.0003709939890491</c:v>
                </c:pt>
                <c:pt idx="1">
                  <c:v>3.8766586879127258</c:v>
                </c:pt>
                <c:pt idx="2">
                  <c:v>4.5837433405368522</c:v>
                </c:pt>
                <c:pt idx="3">
                  <c:v>5.1304577550688109</c:v>
                </c:pt>
                <c:pt idx="4">
                  <c:v>5.7590397709015182</c:v>
                </c:pt>
                <c:pt idx="5">
                  <c:v>6.2395208532456854</c:v>
                </c:pt>
                <c:pt idx="6">
                  <c:v>6.6018402256318405</c:v>
                </c:pt>
                <c:pt idx="7">
                  <c:v>7.2050086005337972</c:v>
                </c:pt>
                <c:pt idx="8">
                  <c:v>7.9101900162230576</c:v>
                </c:pt>
                <c:pt idx="10">
                  <c:v>9.3455953693488443</c:v>
                </c:pt>
                <c:pt idx="11">
                  <c:v>9.3393571709898158</c:v>
                </c:pt>
                <c:pt idx="13">
                  <c:v>8.5879630109850904</c:v>
                </c:pt>
              </c:numCache>
            </c:numRef>
          </c:xVal>
          <c:yVal>
            <c:numRef>
              <c:f>m!$DY$97:$EL$97</c:f>
              <c:numCache>
                <c:formatCode>General</c:formatCode>
                <c:ptCount val="14"/>
                <c:pt idx="0">
                  <c:v>17576.085893731368</c:v>
                </c:pt>
                <c:pt idx="1">
                  <c:v>35144.295608788205</c:v>
                </c:pt>
                <c:pt idx="2">
                  <c:v>42171.520099305264</c:v>
                </c:pt>
                <c:pt idx="3">
                  <c:v>49210.205412747564</c:v>
                </c:pt>
                <c:pt idx="4">
                  <c:v>56240.884881270562</c:v>
                </c:pt>
                <c:pt idx="5">
                  <c:v>63257.192310534017</c:v>
                </c:pt>
                <c:pt idx="6">
                  <c:v>70306.627373946336</c:v>
                </c:pt>
                <c:pt idx="7">
                  <c:v>77327.402014481384</c:v>
                </c:pt>
                <c:pt idx="8">
                  <c:v>77340.109306469283</c:v>
                </c:pt>
                <c:pt idx="10">
                  <c:v>105452.14435510467</c:v>
                </c:pt>
                <c:pt idx="11">
                  <c:v>112453.28501651161</c:v>
                </c:pt>
                <c:pt idx="13">
                  <c:v>84342.471340246368</c:v>
                </c:pt>
              </c:numCache>
            </c:numRef>
          </c:yVal>
          <c:smooth val="0"/>
          <c:extLst>
            <c:ext xmlns:c16="http://schemas.microsoft.com/office/drawing/2014/chart" uri="{C3380CC4-5D6E-409C-BE32-E72D297353CC}">
              <c16:uniqueId val="{00000005-5EA1-42D9-9195-E41E97247118}"/>
            </c:ext>
          </c:extLst>
        </c:ser>
        <c:dLbls>
          <c:showLegendKey val="0"/>
          <c:showVal val="0"/>
          <c:showCatName val="0"/>
          <c:showSerName val="0"/>
          <c:showPercent val="0"/>
          <c:showBubbleSize val="0"/>
        </c:dLbls>
        <c:axId val="624399680"/>
        <c:axId val="624400008"/>
        <c:extLst/>
      </c:scatterChart>
      <c:valAx>
        <c:axId val="624399680"/>
        <c:scaling>
          <c:logBase val="10"/>
          <c:orientation val="minMax"/>
          <c:max val="90"/>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s-ES" sz="1400" b="0" i="0" u="none" strike="noStrike" baseline="0">
                    <a:effectLst/>
                  </a:rPr>
                  <a:t>Normalized Span Length, L̃ = L/L</a:t>
                </a:r>
                <a:r>
                  <a:rPr lang="es-ES" sz="1400" b="0" i="0" u="none" strike="noStrike" baseline="-25000">
                    <a:effectLst/>
                  </a:rPr>
                  <a:t>st</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logBase val="10"/>
          <c:orientation val="minMax"/>
          <c:min val="1000"/>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Reynolds Number</a:t>
                </a:r>
                <a:endParaRPr lang="en-US" sz="1400">
                  <a:effectLst/>
                </a:endParaRPr>
              </a:p>
            </c:rich>
          </c:tx>
          <c:layout>
            <c:manualLayout>
              <c:xMode val="edge"/>
              <c:yMode val="edge"/>
              <c:x val="1.3899982034799908E-2"/>
              <c:y val="0.37022784545094256"/>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minorUnit val="0.5"/>
      </c:valAx>
      <c:spPr>
        <a:noFill/>
        <a:ln w="12700">
          <a:solidFill>
            <a:srgbClr val="808080"/>
          </a:solidFill>
          <a:prstDash val="solid"/>
        </a:ln>
        <a:effectLst/>
      </c:spPr>
    </c:plotArea>
    <c:legend>
      <c:legendPos val="r"/>
      <c:layout>
        <c:manualLayout>
          <c:xMode val="edge"/>
          <c:yMode val="edge"/>
          <c:x val="0.81918183849723292"/>
          <c:y val="4.2322423372292139E-2"/>
          <c:w val="0.13559291732940729"/>
          <c:h val="0.28563220195766126"/>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85193607894172"/>
          <c:y val="2.4349477682811017E-2"/>
          <c:w val="0.65191381962062744"/>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m!$AF$136:$AO$136</c:f>
              <c:numCache>
                <c:formatCode>General</c:formatCode>
                <c:ptCount val="10"/>
                <c:pt idx="6">
                  <c:v>1.6143948063818636</c:v>
                </c:pt>
                <c:pt idx="7">
                  <c:v>1.9401411172244991</c:v>
                </c:pt>
                <c:pt idx="8">
                  <c:v>2.3020971953720357</c:v>
                </c:pt>
                <c:pt idx="9">
                  <c:v>2.7961447987028745</c:v>
                </c:pt>
              </c:numCache>
            </c:numRef>
          </c:xVal>
          <c:yVal>
            <c:numRef>
              <c:f>m!$AF$144:$AO$144</c:f>
              <c:numCache>
                <c:formatCode>General</c:formatCode>
                <c:ptCount val="10"/>
                <c:pt idx="6">
                  <c:v>3.3312430589616485E-6</c:v>
                </c:pt>
                <c:pt idx="7">
                  <c:v>7.3378853424849925E-6</c:v>
                </c:pt>
                <c:pt idx="8">
                  <c:v>7.8223319203516646E-6</c:v>
                </c:pt>
                <c:pt idx="9">
                  <c:v>6.8921883590877108E-6</c:v>
                </c:pt>
              </c:numCache>
            </c:numRef>
          </c:yVal>
          <c:smooth val="0"/>
          <c:extLst xmlns:c15="http://schemas.microsoft.com/office/drawing/2012/chart">
            <c:ext xmlns:c16="http://schemas.microsoft.com/office/drawing/2014/chart" uri="{C3380CC4-5D6E-409C-BE32-E72D297353CC}">
              <c16:uniqueId val="{00000000-2100-45E0-A289-27FC411BCDEB}"/>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m!$AP$136:$BL$136</c:f>
              <c:numCache>
                <c:formatCode>General</c:formatCode>
                <c:ptCount val="23"/>
                <c:pt idx="0">
                  <c:v>0.87758664404220332</c:v>
                </c:pt>
                <c:pt idx="1">
                  <c:v>1.3074036031223182</c:v>
                </c:pt>
                <c:pt idx="2">
                  <c:v>2.5715201139747297</c:v>
                </c:pt>
                <c:pt idx="3">
                  <c:v>3.954965066154386</c:v>
                </c:pt>
                <c:pt idx="4">
                  <c:v>5.5317355430904875</c:v>
                </c:pt>
                <c:pt idx="19">
                  <c:v>0.85445300673745028</c:v>
                </c:pt>
                <c:pt idx="20">
                  <c:v>1.762675703425572</c:v>
                </c:pt>
                <c:pt idx="21">
                  <c:v>1.3296823406377316</c:v>
                </c:pt>
              </c:numCache>
            </c:numRef>
          </c:xVal>
          <c:yVal>
            <c:numRef>
              <c:f>m!$AP$144:$BL$144</c:f>
              <c:numCache>
                <c:formatCode>General</c:formatCode>
                <c:ptCount val="23"/>
                <c:pt idx="0">
                  <c:v>1.0263611254753252E-8</c:v>
                </c:pt>
                <c:pt idx="1">
                  <c:v>5.4112472106500152E-8</c:v>
                </c:pt>
                <c:pt idx="2">
                  <c:v>3.3451213963983326E-6</c:v>
                </c:pt>
                <c:pt idx="3">
                  <c:v>4.3594060864600906E-5</c:v>
                </c:pt>
                <c:pt idx="4">
                  <c:v>3.1777763177394993E-4</c:v>
                </c:pt>
                <c:pt idx="19">
                  <c:v>2.8557320014565028E-8</c:v>
                </c:pt>
                <c:pt idx="20">
                  <c:v>1.0745204086109024E-6</c:v>
                </c:pt>
                <c:pt idx="21">
                  <c:v>8.0998261714627658E-8</c:v>
                </c:pt>
              </c:numCache>
            </c:numRef>
          </c:yVal>
          <c:smooth val="0"/>
          <c:extLst xmlns:c15="http://schemas.microsoft.com/office/drawing/2012/chart">
            <c:ext xmlns:c16="http://schemas.microsoft.com/office/drawing/2014/chart" uri="{C3380CC4-5D6E-409C-BE32-E72D297353CC}">
              <c16:uniqueId val="{00000001-2100-45E0-A289-27FC411BCDEB}"/>
            </c:ext>
          </c:extLst>
        </c:ser>
        <c:ser>
          <c:idx val="11"/>
          <c:order val="2"/>
          <c:tx>
            <c:v>CF, Pipe 1</c:v>
          </c:tx>
          <c:spPr>
            <a:ln w="25400" cap="rnd">
              <a:noFill/>
              <a:round/>
            </a:ln>
            <a:effectLst/>
          </c:spPr>
          <c:marker>
            <c:symbol val="x"/>
            <c:size val="7"/>
            <c:spPr>
              <a:noFill/>
              <a:ln w="15875">
                <a:solidFill>
                  <a:schemeClr val="accent6"/>
                </a:solidFill>
              </a:ln>
              <a:effectLst/>
            </c:spPr>
          </c:marker>
          <c:xVal>
            <c:numRef>
              <c:f>m!$BM$136:$CO$136</c:f>
              <c:numCache>
                <c:formatCode>General</c:formatCode>
                <c:ptCount val="29"/>
              </c:numCache>
            </c:numRef>
          </c:xVal>
          <c:yVal>
            <c:numRef>
              <c:f>m!$BM$144:$CO$144</c:f>
              <c:numCache>
                <c:formatCode>General</c:formatCode>
                <c:ptCount val="29"/>
              </c:numCache>
            </c:numRef>
          </c:yVal>
          <c:smooth val="0"/>
          <c:extLst xmlns:c15="http://schemas.microsoft.com/office/drawing/2012/chart">
            <c:ext xmlns:c16="http://schemas.microsoft.com/office/drawing/2014/chart" uri="{C3380CC4-5D6E-409C-BE32-E72D297353CC}">
              <c16:uniqueId val="{00000002-2100-45E0-A289-27FC411BCDEB}"/>
            </c:ext>
          </c:extLst>
        </c:ser>
        <c:ser>
          <c:idx val="13"/>
          <c:order val="3"/>
          <c:tx>
            <c:v>CF, Pipe 2</c:v>
          </c:tx>
          <c:spPr>
            <a:ln w="25400" cap="rnd">
              <a:noFill/>
              <a:round/>
            </a:ln>
            <a:effectLst/>
          </c:spPr>
          <c:marker>
            <c:symbol val="x"/>
            <c:size val="7"/>
            <c:spPr>
              <a:noFill/>
              <a:ln w="15875">
                <a:solidFill>
                  <a:srgbClr val="00B0F0"/>
                </a:solidFill>
              </a:ln>
              <a:effectLst/>
            </c:spPr>
          </c:marker>
          <c:xVal>
            <c:numRef>
              <c:f>m!$CP$136:$DT$136</c:f>
              <c:numCache>
                <c:formatCode>General</c:formatCode>
                <c:ptCount val="31"/>
                <c:pt idx="23">
                  <c:v>5.4616805280644583</c:v>
                </c:pt>
                <c:pt idx="24">
                  <c:v>9.3881308400269585</c:v>
                </c:pt>
                <c:pt idx="25">
                  <c:v>6.6301156322246957</c:v>
                </c:pt>
                <c:pt idx="27">
                  <c:v>8.9302718911312038</c:v>
                </c:pt>
              </c:numCache>
            </c:numRef>
          </c:xVal>
          <c:yVal>
            <c:numRef>
              <c:f>m!$CP$144:$DT$144</c:f>
              <c:numCache>
                <c:formatCode>General</c:formatCode>
                <c:ptCount val="31"/>
                <c:pt idx="23">
                  <c:v>1.8387319102188966E-4</c:v>
                </c:pt>
                <c:pt idx="24">
                  <c:v>3.270827675143897E-3</c:v>
                </c:pt>
                <c:pt idx="25">
                  <c:v>1.3182300064528095E-3</c:v>
                </c:pt>
                <c:pt idx="27">
                  <c:v>1.4887269718444939E-3</c:v>
                </c:pt>
              </c:numCache>
            </c:numRef>
          </c:yVal>
          <c:smooth val="0"/>
          <c:extLst xmlns:c15="http://schemas.microsoft.com/office/drawing/2012/chart">
            <c:ext xmlns:c16="http://schemas.microsoft.com/office/drawing/2014/chart" uri="{C3380CC4-5D6E-409C-BE32-E72D297353CC}">
              <c16:uniqueId val="{00000003-2100-45E0-A289-27FC411BCDEB}"/>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m!$DU$136:$DX$136</c:f>
              <c:numCache>
                <c:formatCode>General</c:formatCode>
                <c:ptCount val="4"/>
                <c:pt idx="1">
                  <c:v>3.7649826229949488</c:v>
                </c:pt>
              </c:numCache>
            </c:numRef>
          </c:xVal>
          <c:yVal>
            <c:numRef>
              <c:f>m!$DU$144:$DX$144</c:f>
              <c:numCache>
                <c:formatCode>General</c:formatCode>
                <c:ptCount val="4"/>
                <c:pt idx="1">
                  <c:v>1.6569673554887655E-3</c:v>
                </c:pt>
              </c:numCache>
            </c:numRef>
          </c:yVal>
          <c:smooth val="0"/>
          <c:extLst xmlns:c15="http://schemas.microsoft.com/office/drawing/2012/chart">
            <c:ext xmlns:c16="http://schemas.microsoft.com/office/drawing/2014/chart" uri="{C3380CC4-5D6E-409C-BE32-E72D297353CC}">
              <c16:uniqueId val="{00000004-2100-45E0-A289-27FC411BCDEB}"/>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m!$DY$136:$EL$136</c:f>
              <c:numCache>
                <c:formatCode>General</c:formatCode>
                <c:ptCount val="14"/>
                <c:pt idx="0">
                  <c:v>0.95944318952665708</c:v>
                </c:pt>
                <c:pt idx="1">
                  <c:v>4.0478778131308895</c:v>
                </c:pt>
                <c:pt idx="2">
                  <c:v>7.094716690461337</c:v>
                </c:pt>
                <c:pt idx="3">
                  <c:v>9.8213071433888182</c:v>
                </c:pt>
              </c:numCache>
            </c:numRef>
          </c:xVal>
          <c:yVal>
            <c:numRef>
              <c:f>m!$DY$144:$EL$144</c:f>
              <c:numCache>
                <c:formatCode>General</c:formatCode>
                <c:ptCount val="14"/>
                <c:pt idx="0">
                  <c:v>3.3957590883779812E-6</c:v>
                </c:pt>
                <c:pt idx="1">
                  <c:v>1.1197104351254271E-3</c:v>
                </c:pt>
                <c:pt idx="2">
                  <c:v>8.646384171384195E-3</c:v>
                </c:pt>
                <c:pt idx="3">
                  <c:v>5.0198044903397777E-2</c:v>
                </c:pt>
              </c:numCache>
            </c:numRef>
          </c:yVal>
          <c:smooth val="0"/>
          <c:extLst xmlns:c15="http://schemas.microsoft.com/office/drawing/2012/chart">
            <c:ext xmlns:c16="http://schemas.microsoft.com/office/drawing/2014/chart" uri="{C3380CC4-5D6E-409C-BE32-E72D297353CC}">
              <c16:uniqueId val="{00000005-2100-45E0-A289-27FC411BCDEB}"/>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m!$AF$136:$AO$136</c:f>
              <c:numCache>
                <c:formatCode>General</c:formatCode>
                <c:ptCount val="10"/>
                <c:pt idx="6">
                  <c:v>1.6143948063818636</c:v>
                </c:pt>
                <c:pt idx="7">
                  <c:v>1.9401411172244991</c:v>
                </c:pt>
                <c:pt idx="8">
                  <c:v>2.3020971953720357</c:v>
                </c:pt>
                <c:pt idx="9">
                  <c:v>2.7961447987028745</c:v>
                </c:pt>
              </c:numCache>
            </c:numRef>
          </c:xVal>
          <c:yVal>
            <c:numRef>
              <c:f>m!$AF$145:$AO$145</c:f>
              <c:numCache>
                <c:formatCode>General</c:formatCode>
                <c:ptCount val="10"/>
                <c:pt idx="6">
                  <c:v>1.2542029851515517E-6</c:v>
                </c:pt>
                <c:pt idx="7">
                  <c:v>1.916333337452869E-6</c:v>
                </c:pt>
                <c:pt idx="8">
                  <c:v>1.5689348081764975E-6</c:v>
                </c:pt>
                <c:pt idx="9">
                  <c:v>3.6004404056860452E-6</c:v>
                </c:pt>
              </c:numCache>
            </c:numRef>
          </c:yVal>
          <c:smooth val="0"/>
          <c:extLst>
            <c:ext xmlns:c16="http://schemas.microsoft.com/office/drawing/2014/chart" uri="{C3380CC4-5D6E-409C-BE32-E72D297353CC}">
              <c16:uniqueId val="{00000006-2100-45E0-A289-27FC411BCDEB}"/>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m!$AP$136:$BL$136</c:f>
              <c:numCache>
                <c:formatCode>General</c:formatCode>
                <c:ptCount val="23"/>
                <c:pt idx="0">
                  <c:v>0.87758664404220332</c:v>
                </c:pt>
                <c:pt idx="1">
                  <c:v>1.3074036031223182</c:v>
                </c:pt>
                <c:pt idx="2">
                  <c:v>2.5715201139747297</c:v>
                </c:pt>
                <c:pt idx="3">
                  <c:v>3.954965066154386</c:v>
                </c:pt>
                <c:pt idx="4">
                  <c:v>5.5317355430904875</c:v>
                </c:pt>
                <c:pt idx="19">
                  <c:v>0.85445300673745028</c:v>
                </c:pt>
                <c:pt idx="20">
                  <c:v>1.762675703425572</c:v>
                </c:pt>
                <c:pt idx="21">
                  <c:v>1.3296823406377316</c:v>
                </c:pt>
              </c:numCache>
            </c:numRef>
          </c:xVal>
          <c:yVal>
            <c:numRef>
              <c:f>m!$AP$145:$BL$145</c:f>
              <c:numCache>
                <c:formatCode>General</c:formatCode>
                <c:ptCount val="23"/>
                <c:pt idx="0">
                  <c:v>1.3857504480181566E-8</c:v>
                </c:pt>
                <c:pt idx="1">
                  <c:v>2.0636852232613156E-7</c:v>
                </c:pt>
                <c:pt idx="2">
                  <c:v>8.6872154464934176E-7</c:v>
                </c:pt>
                <c:pt idx="3">
                  <c:v>8.1068211715272813E-6</c:v>
                </c:pt>
                <c:pt idx="4">
                  <c:v>3.5503759865297937E-5</c:v>
                </c:pt>
                <c:pt idx="19">
                  <c:v>5.1075499222930498E-8</c:v>
                </c:pt>
                <c:pt idx="20">
                  <c:v>4.4453517408270377E-7</c:v>
                </c:pt>
                <c:pt idx="21">
                  <c:v>2.4111574927632757E-7</c:v>
                </c:pt>
              </c:numCache>
            </c:numRef>
          </c:yVal>
          <c:smooth val="0"/>
          <c:extLst>
            <c:ext xmlns:c16="http://schemas.microsoft.com/office/drawing/2014/chart" uri="{C3380CC4-5D6E-409C-BE32-E72D297353CC}">
              <c16:uniqueId val="{00000007-2100-45E0-A289-27FC411BCDEB}"/>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m!$BM$136:$CO$136</c:f>
              <c:numCache>
                <c:formatCode>General</c:formatCode>
                <c:ptCount val="29"/>
              </c:numCache>
            </c:numRef>
          </c:xVal>
          <c:yVal>
            <c:numRef>
              <c:f>m!$BM$145:$CO$145</c:f>
              <c:numCache>
                <c:formatCode>General</c:formatCode>
                <c:ptCount val="29"/>
              </c:numCache>
            </c:numRef>
          </c:yVal>
          <c:smooth val="0"/>
          <c:extLst>
            <c:ext xmlns:c16="http://schemas.microsoft.com/office/drawing/2014/chart" uri="{C3380CC4-5D6E-409C-BE32-E72D297353CC}">
              <c16:uniqueId val="{00000008-2100-45E0-A289-27FC411BCDEB}"/>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m!$CP$136:$DT$136</c:f>
              <c:numCache>
                <c:formatCode>General</c:formatCode>
                <c:ptCount val="31"/>
                <c:pt idx="23">
                  <c:v>5.4616805280644583</c:v>
                </c:pt>
                <c:pt idx="24">
                  <c:v>9.3881308400269585</c:v>
                </c:pt>
                <c:pt idx="25">
                  <c:v>6.6301156322246957</c:v>
                </c:pt>
                <c:pt idx="27">
                  <c:v>8.9302718911312038</c:v>
                </c:pt>
              </c:numCache>
            </c:numRef>
          </c:xVal>
          <c:yVal>
            <c:numRef>
              <c:f>m!$CP$145:$DT$145</c:f>
              <c:numCache>
                <c:formatCode>General</c:formatCode>
                <c:ptCount val="31"/>
                <c:pt idx="23">
                  <c:v>1.906671871666099E-4</c:v>
                </c:pt>
                <c:pt idx="24">
                  <c:v>2.4591168879224863E-3</c:v>
                </c:pt>
                <c:pt idx="25">
                  <c:v>3.4759479193778375E-4</c:v>
                </c:pt>
                <c:pt idx="27">
                  <c:v>7.5895184282628208E-4</c:v>
                </c:pt>
              </c:numCache>
            </c:numRef>
          </c:yVal>
          <c:smooth val="0"/>
          <c:extLst>
            <c:ext xmlns:c16="http://schemas.microsoft.com/office/drawing/2014/chart" uri="{C3380CC4-5D6E-409C-BE32-E72D297353CC}">
              <c16:uniqueId val="{00000009-2100-45E0-A289-27FC411BCDEB}"/>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m!$DU$136:$DX$136</c:f>
              <c:numCache>
                <c:formatCode>General</c:formatCode>
                <c:ptCount val="4"/>
                <c:pt idx="1">
                  <c:v>3.7649826229949488</c:v>
                </c:pt>
              </c:numCache>
            </c:numRef>
          </c:xVal>
          <c:yVal>
            <c:numRef>
              <c:f>m!$DU$145:$DX$145</c:f>
              <c:numCache>
                <c:formatCode>General</c:formatCode>
                <c:ptCount val="4"/>
                <c:pt idx="1">
                  <c:v>5.3255910832457776E-4</c:v>
                </c:pt>
              </c:numCache>
            </c:numRef>
          </c:yVal>
          <c:smooth val="0"/>
          <c:extLst>
            <c:ext xmlns:c16="http://schemas.microsoft.com/office/drawing/2014/chart" uri="{C3380CC4-5D6E-409C-BE32-E72D297353CC}">
              <c16:uniqueId val="{0000000A-2100-45E0-A289-27FC411BCDEB}"/>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m!$DY$136:$EL$136</c:f>
              <c:numCache>
                <c:formatCode>General</c:formatCode>
                <c:ptCount val="14"/>
                <c:pt idx="0">
                  <c:v>0.95944318952665708</c:v>
                </c:pt>
                <c:pt idx="1">
                  <c:v>4.0478778131308895</c:v>
                </c:pt>
                <c:pt idx="2">
                  <c:v>7.094716690461337</c:v>
                </c:pt>
                <c:pt idx="3">
                  <c:v>9.8213071433888182</c:v>
                </c:pt>
              </c:numCache>
            </c:numRef>
          </c:xVal>
          <c:yVal>
            <c:numRef>
              <c:f>m!$DY$145:$EL$145</c:f>
              <c:numCache>
                <c:formatCode>General</c:formatCode>
                <c:ptCount val="14"/>
                <c:pt idx="0">
                  <c:v>8.1056258945619145E-7</c:v>
                </c:pt>
                <c:pt idx="1">
                  <c:v>6.0351498342746932E-4</c:v>
                </c:pt>
                <c:pt idx="2">
                  <c:v>5.1639657195250328E-3</c:v>
                </c:pt>
                <c:pt idx="3">
                  <c:v>3.9461668995730122E-2</c:v>
                </c:pt>
              </c:numCache>
            </c:numRef>
          </c:yVal>
          <c:smooth val="0"/>
          <c:extLst>
            <c:ext xmlns:c16="http://schemas.microsoft.com/office/drawing/2014/chart" uri="{C3380CC4-5D6E-409C-BE32-E72D297353CC}">
              <c16:uniqueId val="{0000000B-2100-45E0-A289-27FC411BCDEB}"/>
            </c:ext>
          </c:extLst>
        </c:ser>
        <c:ser>
          <c:idx val="1"/>
          <c:order val="12"/>
          <c:tx>
            <c:v>F105 CF</c:v>
          </c:tx>
          <c:spPr>
            <a:ln w="19050" cap="rnd">
              <a:solidFill>
                <a:schemeClr val="bg1">
                  <a:lumMod val="65000"/>
                </a:schemeClr>
              </a:solidFill>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'c'!$J$277:$J$387</c:f>
              <c:numCache>
                <c:formatCode>General</c:formatCode>
                <c:ptCount val="111"/>
                <c:pt idx="1">
                  <c:v>1.1934142024121279E-10</c:v>
                </c:pt>
                <c:pt idx="2">
                  <c:v>5.8601647120351191E-10</c:v>
                </c:pt>
                <c:pt idx="3">
                  <c:v>1.3192456613036392E-9</c:v>
                </c:pt>
                <c:pt idx="4">
                  <c:v>2.271259252542075E-9</c:v>
                </c:pt>
                <c:pt idx="5">
                  <c:v>3.4183821335086984E-9</c:v>
                </c:pt>
                <c:pt idx="6">
                  <c:v>4.7486827086819816E-9</c:v>
                </c:pt>
                <c:pt idx="7">
                  <c:v>6.257152762444087E-9</c:v>
                </c:pt>
                <c:pt idx="8">
                  <c:v>7.9435562419740368E-9</c:v>
                </c:pt>
                <c:pt idx="9">
                  <c:v>9.8114222247120654E-9</c:v>
                </c:pt>
                <c:pt idx="10">
                  <c:v>1.1374507408180703E-8</c:v>
                </c:pt>
                <c:pt idx="11">
                  <c:v>1.1673474465614144E-8</c:v>
                </c:pt>
                <c:pt idx="12">
                  <c:v>2.0264645424790136E-8</c:v>
                </c:pt>
                <c:pt idx="13">
                  <c:v>2.4739861677586068E-8</c:v>
                </c:pt>
                <c:pt idx="14">
                  <c:v>2.8987397332260139E-8</c:v>
                </c:pt>
                <c:pt idx="15">
                  <c:v>3.5298224045996233E-8</c:v>
                </c:pt>
                <c:pt idx="16">
                  <c:v>4.8911174865287834E-8</c:v>
                </c:pt>
                <c:pt idx="17">
                  <c:v>6.1007977288460242E-8</c:v>
                </c:pt>
                <c:pt idx="18">
                  <c:v>7.4421787666386599E-8</c:v>
                </c:pt>
                <c:pt idx="19">
                  <c:v>6.4463953108606614E-7</c:v>
                </c:pt>
                <c:pt idx="20">
                  <c:v>7.8761767740424494E-7</c:v>
                </c:pt>
                <c:pt idx="21">
                  <c:v>2.2582933496242946E-6</c:v>
                </c:pt>
                <c:pt idx="22">
                  <c:v>2.9142366444659832E-6</c:v>
                </c:pt>
                <c:pt idx="23">
                  <c:v>3.7911356050073115E-6</c:v>
                </c:pt>
                <c:pt idx="24">
                  <c:v>6.1292229585230439E-6</c:v>
                </c:pt>
                <c:pt idx="25">
                  <c:v>8.9967233568530302E-6</c:v>
                </c:pt>
                <c:pt idx="26">
                  <c:v>1.233609164877394E-5</c:v>
                </c:pt>
                <c:pt idx="27">
                  <c:v>1.613561262893877E-5</c:v>
                </c:pt>
                <c:pt idx="28">
                  <c:v>2.0389032359386123E-5</c:v>
                </c:pt>
                <c:pt idx="29">
                  <c:v>2.7896522120382277E-5</c:v>
                </c:pt>
                <c:pt idx="30">
                  <c:v>3.4147753108393163E-5</c:v>
                </c:pt>
                <c:pt idx="31">
                  <c:v>4.1029949611978959E-5</c:v>
                </c:pt>
                <c:pt idx="32">
                  <c:v>4.8544273969271533E-5</c:v>
                </c:pt>
                <c:pt idx="33">
                  <c:v>5.6692727932485921E-5</c:v>
                </c:pt>
                <c:pt idx="34">
                  <c:v>6.5477982696394578E-5</c:v>
                </c:pt>
                <c:pt idx="35">
                  <c:v>7.4903260556928055E-5</c:v>
                </c:pt>
                <c:pt idx="36">
                  <c:v>8.4972256616025723E-5</c:v>
                </c:pt>
                <c:pt idx="37">
                  <c:v>9.6991935895223658E-5</c:v>
                </c:pt>
                <c:pt idx="38">
                  <c:v>1.1021353296924801E-4</c:v>
                </c:pt>
                <c:pt idx="39">
                  <c:v>1.244148965147945E-4</c:v>
                </c:pt>
                <c:pt idx="40">
                  <c:v>1.3960614408876169E-4</c:v>
                </c:pt>
                <c:pt idx="41">
                  <c:v>1.5579733824399569E-4</c:v>
                </c:pt>
                <c:pt idx="42">
                  <c:v>1.7299851051530958E-4</c:v>
                </c:pt>
                <c:pt idx="43">
                  <c:v>1.91219695776541E-4</c:v>
                </c:pt>
                <c:pt idx="44">
                  <c:v>2.0150243389988355E-4</c:v>
                </c:pt>
                <c:pt idx="45">
                  <c:v>2.0943177966555181E-4</c:v>
                </c:pt>
                <c:pt idx="46">
                  <c:v>2.1759298017943473E-4</c:v>
                </c:pt>
                <c:pt idx="47">
                  <c:v>2.2598350885008809E-4</c:v>
                </c:pt>
                <c:pt idx="48">
                  <c:v>2.3460143566237412E-4</c:v>
                </c:pt>
                <c:pt idx="49">
                  <c:v>2.4344532625639415E-4</c:v>
                </c:pt>
                <c:pt idx="50">
                  <c:v>2.5251416310686402E-4</c:v>
                </c:pt>
                <c:pt idx="51">
                  <c:v>2.6180728188418458E-4</c:v>
                </c:pt>
                <c:pt idx="52">
                  <c:v>2.7132432307696745E-4</c:v>
                </c:pt>
                <c:pt idx="53">
                  <c:v>2.8106519194730901E-4</c:v>
                </c:pt>
                <c:pt idx="54">
                  <c:v>2.9103002889264317E-4</c:v>
                </c:pt>
                <c:pt idx="55">
                  <c:v>3.0121918506770127E-4</c:v>
                </c:pt>
                <c:pt idx="56">
                  <c:v>3.1163320369643127E-4</c:v>
                </c:pt>
                <c:pt idx="57">
                  <c:v>3.2227280577636834E-4</c:v>
                </c:pt>
                <c:pt idx="58">
                  <c:v>3.3313887902520437E-4</c:v>
                </c:pt>
                <c:pt idx="59">
                  <c:v>3.442324713263655E-4</c:v>
                </c:pt>
                <c:pt idx="60">
                  <c:v>3.5555478386162432E-4</c:v>
                </c:pt>
                <c:pt idx="61">
                  <c:v>3.6710716902530827E-4</c:v>
                </c:pt>
                <c:pt idx="62">
                  <c:v>3.7889112888374104E-4</c:v>
                </c:pt>
                <c:pt idx="63">
                  <c:v>3.9090831599078636E-4</c:v>
                </c:pt>
                <c:pt idx="64">
                  <c:v>5.2710751318539584E-4</c:v>
                </c:pt>
                <c:pt idx="65">
                  <c:v>5.8122693562820697E-4</c:v>
                </c:pt>
                <c:pt idx="66">
                  <c:v>6.1196489842134697E-4</c:v>
                </c:pt>
                <c:pt idx="67">
                  <c:v>6.4366673031445278E-4</c:v>
                </c:pt>
                <c:pt idx="68">
                  <c:v>6.7690138242371622E-4</c:v>
                </c:pt>
                <c:pt idx="69">
                  <c:v>7.1220015311268764E-4</c:v>
                </c:pt>
                <c:pt idx="70">
                  <c:v>9.2373423117274658E-4</c:v>
                </c:pt>
                <c:pt idx="71">
                  <c:v>9.7197946815747404E-4</c:v>
                </c:pt>
                <c:pt idx="72">
                  <c:v>1.0215806075401339E-3</c:v>
                </c:pt>
                <c:pt idx="73">
                  <c:v>1.0725414525127788E-3</c:v>
                </c:pt>
                <c:pt idx="74">
                  <c:v>1.1248656960866387E-3</c:v>
                </c:pt>
                <c:pt idx="75">
                  <c:v>1.1785569182588514E-3</c:v>
                </c:pt>
                <c:pt idx="76">
                  <c:v>1.2336186015943873E-3</c:v>
                </c:pt>
                <c:pt idx="77">
                  <c:v>1.2900541459188893E-3</c:v>
                </c:pt>
                <c:pt idx="78">
                  <c:v>2.3417947460872075E-3</c:v>
                </c:pt>
                <c:pt idx="79">
                  <c:v>2.4039621873699871E-3</c:v>
                </c:pt>
                <c:pt idx="80">
                  <c:v>2.4670148846957095E-3</c:v>
                </c:pt>
                <c:pt idx="81">
                  <c:v>2.5309505094194963E-3</c:v>
                </c:pt>
                <c:pt idx="82">
                  <c:v>2.5957668200473033E-3</c:v>
                </c:pt>
                <c:pt idx="83">
                  <c:v>2.6614616797110205E-3</c:v>
                </c:pt>
                <c:pt idx="84">
                  <c:v>2.7280330239474833E-3</c:v>
                </c:pt>
                <c:pt idx="85">
                  <c:v>2.7954788771231342E-3</c:v>
                </c:pt>
                <c:pt idx="86">
                  <c:v>2.8637973290220782E-3</c:v>
                </c:pt>
                <c:pt idx="87">
                  <c:v>2.9329865335208033E-3</c:v>
                </c:pt>
                <c:pt idx="88">
                  <c:v>3.0080827599342792E-3</c:v>
                </c:pt>
                <c:pt idx="89">
                  <c:v>3.0855483338062431E-3</c:v>
                </c:pt>
                <c:pt idx="90">
                  <c:v>3.164205224460375E-3</c:v>
                </c:pt>
                <c:pt idx="91">
                  <c:v>3.2440521012868664E-3</c:v>
                </c:pt>
                <c:pt idx="92">
                  <c:v>3.3250877348839475E-3</c:v>
                </c:pt>
                <c:pt idx="93">
                  <c:v>3.4073109653295873E-3</c:v>
                </c:pt>
                <c:pt idx="94">
                  <c:v>3.6154853455104192E-3</c:v>
                </c:pt>
                <c:pt idx="95">
                  <c:v>3.7122375022227063E-3</c:v>
                </c:pt>
                <c:pt idx="96">
                  <c:v>3.8105401316618909E-3</c:v>
                </c:pt>
                <c:pt idx="97">
                  <c:v>3.910393669027336E-3</c:v>
                </c:pt>
                <c:pt idx="98">
                  <c:v>4.011798567237033E-3</c:v>
                </c:pt>
                <c:pt idx="99">
                  <c:v>4.1147552944635355E-3</c:v>
                </c:pt>
                <c:pt idx="100">
                  <c:v>4.219264316767112E-3</c:v>
                </c:pt>
                <c:pt idx="101">
                  <c:v>4.3253261092453766E-3</c:v>
                </c:pt>
                <c:pt idx="102">
                  <c:v>4.542109889913418E-3</c:v>
                </c:pt>
                <c:pt idx="103">
                  <c:v>4.7676271276182016E-3</c:v>
                </c:pt>
                <c:pt idx="104">
                  <c:v>5.0119615167507374E-3</c:v>
                </c:pt>
                <c:pt idx="105">
                  <c:v>5.263477972302027E-3</c:v>
                </c:pt>
                <c:pt idx="106">
                  <c:v>5.5221879927329328E-3</c:v>
                </c:pt>
                <c:pt idx="107">
                  <c:v>5.7881022964053315E-3</c:v>
                </c:pt>
                <c:pt idx="108">
                  <c:v>6.061230866799946E-3</c:v>
                </c:pt>
                <c:pt idx="109">
                  <c:v>6.3415829600034085E-3</c:v>
                </c:pt>
                <c:pt idx="110">
                  <c:v>6.6291671711631549E-3</c:v>
                </c:pt>
              </c:numCache>
            </c:numRef>
          </c:yVal>
          <c:smooth val="0"/>
          <c:extLst>
            <c:ext xmlns:c16="http://schemas.microsoft.com/office/drawing/2014/chart" uri="{C3380CC4-5D6E-409C-BE32-E72D297353CC}">
              <c16:uniqueId val="{00000000-9B95-4645-9D18-63A510543DEE}"/>
            </c:ext>
          </c:extLst>
        </c:ser>
        <c:ser>
          <c:idx val="2"/>
          <c:order val="13"/>
          <c:tx>
            <c:v>F105 IL</c:v>
          </c:tx>
          <c:spPr>
            <a:ln w="19050" cap="rnd">
              <a:solidFill>
                <a:schemeClr val="bg1">
                  <a:lumMod val="65000"/>
                </a:schemeClr>
              </a:solidFill>
              <a:prstDash val="dash"/>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'c'!$K$277:$K$387</c:f>
              <c:numCache>
                <c:formatCode>General</c:formatCode>
                <c:ptCount val="111"/>
                <c:pt idx="1">
                  <c:v>1.1041206642935996E-10</c:v>
                </c:pt>
                <c:pt idx="2">
                  <c:v>3.9083769619238301E-10</c:v>
                </c:pt>
                <c:pt idx="3">
                  <c:v>8.3417937989991067E-10</c:v>
                </c:pt>
                <c:pt idx="4">
                  <c:v>1.386349467927615E-9</c:v>
                </c:pt>
                <c:pt idx="5">
                  <c:v>2.0221458734314633E-9</c:v>
                </c:pt>
                <c:pt idx="6">
                  <c:v>2.7280832073013042E-9</c:v>
                </c:pt>
                <c:pt idx="7">
                  <c:v>3.4900089065007571E-9</c:v>
                </c:pt>
                <c:pt idx="8">
                  <c:v>3.4526056345473889E-9</c:v>
                </c:pt>
                <c:pt idx="9">
                  <c:v>3.6845391625690188E-9</c:v>
                </c:pt>
                <c:pt idx="10">
                  <c:v>4.5596110754008729E-9</c:v>
                </c:pt>
                <c:pt idx="11">
                  <c:v>5.1354735156530644E-9</c:v>
                </c:pt>
                <c:pt idx="12">
                  <c:v>1.8798184111580765E-8</c:v>
                </c:pt>
                <c:pt idx="13">
                  <c:v>3.8278906377905918E-8</c:v>
                </c:pt>
                <c:pt idx="14">
                  <c:v>6.0608403280868133E-8</c:v>
                </c:pt>
                <c:pt idx="15">
                  <c:v>8.7897519775557316E-8</c:v>
                </c:pt>
                <c:pt idx="16">
                  <c:v>1.1936955455996198E-7</c:v>
                </c:pt>
                <c:pt idx="17">
                  <c:v>1.6248811814761335E-7</c:v>
                </c:pt>
                <c:pt idx="18">
                  <c:v>1.7758736905165257E-7</c:v>
                </c:pt>
                <c:pt idx="19">
                  <c:v>1.9509795558417127E-7</c:v>
                </c:pt>
                <c:pt idx="20">
                  <c:v>2.1743961752353268E-7</c:v>
                </c:pt>
                <c:pt idx="21">
                  <c:v>7.383804602075083E-7</c:v>
                </c:pt>
                <c:pt idx="22">
                  <c:v>1.5259033356619188E-6</c:v>
                </c:pt>
                <c:pt idx="23">
                  <c:v>2.7596790925296323E-6</c:v>
                </c:pt>
                <c:pt idx="24">
                  <c:v>3.5046103387111095E-6</c:v>
                </c:pt>
                <c:pt idx="25">
                  <c:v>4.9046144530215657E-6</c:v>
                </c:pt>
                <c:pt idx="26">
                  <c:v>6.741744082898285E-6</c:v>
                </c:pt>
                <c:pt idx="27">
                  <c:v>9.3991166552796059E-6</c:v>
                </c:pt>
                <c:pt idx="28">
                  <c:v>1.3064944908041459E-5</c:v>
                </c:pt>
                <c:pt idx="29">
                  <c:v>1.745912521949417E-5</c:v>
                </c:pt>
                <c:pt idx="30">
                  <c:v>2.2608627466074434E-5</c:v>
                </c:pt>
                <c:pt idx="31">
                  <c:v>2.853577491957245E-5</c:v>
                </c:pt>
                <c:pt idx="32">
                  <c:v>3.5654040573245164E-5</c:v>
                </c:pt>
                <c:pt idx="33">
                  <c:v>4.2317438394921847E-5</c:v>
                </c:pt>
                <c:pt idx="34">
                  <c:v>4.6953384651077838E-5</c:v>
                </c:pt>
                <c:pt idx="35">
                  <c:v>5.8673199879728151E-5</c:v>
                </c:pt>
                <c:pt idx="36">
                  <c:v>6.7127386360059407E-5</c:v>
                </c:pt>
                <c:pt idx="37">
                  <c:v>7.6703951727567958E-5</c:v>
                </c:pt>
                <c:pt idx="38">
                  <c:v>8.7451898536267092E-5</c:v>
                </c:pt>
                <c:pt idx="39">
                  <c:v>9.9420682299452756E-5</c:v>
                </c:pt>
                <c:pt idx="40">
                  <c:v>1.1265909003685684E-4</c:v>
                </c:pt>
                <c:pt idx="41">
                  <c:v>1.2721450573893828E-4</c:v>
                </c:pt>
                <c:pt idx="42">
                  <c:v>1.4313244010723451E-4</c:v>
                </c:pt>
                <c:pt idx="43">
                  <c:v>1.6045624724847374E-4</c:v>
                </c:pt>
                <c:pt idx="44">
                  <c:v>1.7922696615042686E-4</c:v>
                </c:pt>
                <c:pt idx="45">
                  <c:v>2.0530129448236679E-4</c:v>
                </c:pt>
                <c:pt idx="46">
                  <c:v>2.3396071907602964E-4</c:v>
                </c:pt>
                <c:pt idx="47">
                  <c:v>2.6515256344971012E-4</c:v>
                </c:pt>
                <c:pt idx="48">
                  <c:v>3.0044662851224122E-4</c:v>
                </c:pt>
                <c:pt idx="49">
                  <c:v>3.3768576985549424E-4</c:v>
                </c:pt>
                <c:pt idx="50">
                  <c:v>3.7087006805846563E-4</c:v>
                </c:pt>
                <c:pt idx="51">
                  <c:v>3.992028350593978E-4</c:v>
                </c:pt>
                <c:pt idx="52">
                  <c:v>4.3553846769955895E-4</c:v>
                </c:pt>
                <c:pt idx="53">
                  <c:v>4.8230525119494623E-4</c:v>
                </c:pt>
                <c:pt idx="54">
                  <c:v>5.3273493352371242E-4</c:v>
                </c:pt>
                <c:pt idx="55">
                  <c:v>5.8693300825641171E-4</c:v>
                </c:pt>
                <c:pt idx="56">
                  <c:v>6.4500130543587459E-4</c:v>
                </c:pt>
                <c:pt idx="57">
                  <c:v>7.0703788356604269E-4</c:v>
                </c:pt>
                <c:pt idx="58">
                  <c:v>7.7313697162623802E-4</c:v>
                </c:pt>
                <c:pt idx="59">
                  <c:v>8.4338896127988028E-4</c:v>
                </c:pt>
                <c:pt idx="60">
                  <c:v>9.1788041804090272E-4</c:v>
                </c:pt>
                <c:pt idx="61">
                  <c:v>9.9669413189119459E-4</c:v>
                </c:pt>
                <c:pt idx="62">
                  <c:v>9.5951220643075046E-4</c:v>
                </c:pt>
                <c:pt idx="63">
                  <c:v>1.0435583383991097E-3</c:v>
                </c:pt>
                <c:pt idx="64">
                  <c:v>1.1321790585733357E-3</c:v>
                </c:pt>
                <c:pt idx="65">
                  <c:v>1.2254453320713812E-3</c:v>
                </c:pt>
                <c:pt idx="66">
                  <c:v>1.323424504263482E-3</c:v>
                </c:pt>
                <c:pt idx="67">
                  <c:v>1.426180419450926E-3</c:v>
                </c:pt>
                <c:pt idx="68">
                  <c:v>1.5411102073802857E-3</c:v>
                </c:pt>
                <c:pt idx="69">
                  <c:v>1.6569638491960629E-3</c:v>
                </c:pt>
                <c:pt idx="70">
                  <c:v>1.778475253110303E-3</c:v>
                </c:pt>
                <c:pt idx="71">
                  <c:v>1.9662987249366892E-3</c:v>
                </c:pt>
                <c:pt idx="72">
                  <c:v>2.1164897441417357E-3</c:v>
                </c:pt>
                <c:pt idx="73">
                  <c:v>2.2750524328940189E-3</c:v>
                </c:pt>
                <c:pt idx="74">
                  <c:v>2.4362064905524214E-3</c:v>
                </c:pt>
                <c:pt idx="75">
                  <c:v>2.5958166837139742E-3</c:v>
                </c:pt>
                <c:pt idx="76">
                  <c:v>2.7223063476591899E-3</c:v>
                </c:pt>
                <c:pt idx="77">
                  <c:v>2.8555128778888022E-3</c:v>
                </c:pt>
                <c:pt idx="78">
                  <c:v>2.9955626498916299E-3</c:v>
                </c:pt>
                <c:pt idx="79">
                  <c:v>3.1425836596925601E-3</c:v>
                </c:pt>
                <c:pt idx="80">
                  <c:v>3.2967049158265974E-3</c:v>
                </c:pt>
                <c:pt idx="81">
                  <c:v>3.4580559570648009E-3</c:v>
                </c:pt>
                <c:pt idx="82">
                  <c:v>3.6267663705853827E-3</c:v>
                </c:pt>
                <c:pt idx="83">
                  <c:v>3.7998766224188142E-3</c:v>
                </c:pt>
                <c:pt idx="84">
                  <c:v>3.9855206253017724E-3</c:v>
                </c:pt>
                <c:pt idx="85">
                  <c:v>4.1781139215057456E-3</c:v>
                </c:pt>
                <c:pt idx="86">
                  <c:v>4.3777453039025626E-3</c:v>
                </c:pt>
                <c:pt idx="87">
                  <c:v>4.5845018889188087E-3</c:v>
                </c:pt>
                <c:pt idx="88">
                  <c:v>4.7984690720073893E-3</c:v>
                </c:pt>
                <c:pt idx="89">
                  <c:v>5.0197304448905211E-3</c:v>
                </c:pt>
                <c:pt idx="90">
                  <c:v>5.2483677730211752E-3</c:v>
                </c:pt>
                <c:pt idx="91">
                  <c:v>5.4844609521041013E-3</c:v>
                </c:pt>
                <c:pt idx="92">
                  <c:v>5.7280880077217036E-3</c:v>
                </c:pt>
                <c:pt idx="93">
                  <c:v>5.9793250435611822E-3</c:v>
                </c:pt>
                <c:pt idx="94">
                  <c:v>6.2382462833751881E-3</c:v>
                </c:pt>
                <c:pt idx="95">
                  <c:v>6.504924023571672E-3</c:v>
                </c:pt>
                <c:pt idx="96">
                  <c:v>6.8002865578196629E-3</c:v>
                </c:pt>
                <c:pt idx="97">
                  <c:v>7.089713486503251E-3</c:v>
                </c:pt>
                <c:pt idx="98">
                  <c:v>7.5015519075969867E-3</c:v>
                </c:pt>
                <c:pt idx="99">
                  <c:v>7.837543924558878E-3</c:v>
                </c:pt>
                <c:pt idx="100">
                  <c:v>8.1862864789423555E-3</c:v>
                </c:pt>
                <c:pt idx="101">
                  <c:v>8.5479564595675201E-3</c:v>
                </c:pt>
                <c:pt idx="102">
                  <c:v>9.3107783720253294E-3</c:v>
                </c:pt>
                <c:pt idx="103">
                  <c:v>1.0127391094476166E-2</c:v>
                </c:pt>
                <c:pt idx="104">
                  <c:v>1.0999144754034053E-2</c:v>
                </c:pt>
                <c:pt idx="105">
                  <c:v>1.1927354823782352E-2</c:v>
                </c:pt>
                <c:pt idx="106">
                  <c:v>1.2913227429327356E-2</c:v>
                </c:pt>
                <c:pt idx="107">
                  <c:v>1.3957682647327309E-2</c:v>
                </c:pt>
                <c:pt idx="108">
                  <c:v>1.5062276715064816E-2</c:v>
                </c:pt>
                <c:pt idx="109">
                  <c:v>1.6228166643484403E-2</c:v>
                </c:pt>
                <c:pt idx="110">
                  <c:v>1.7456467964896839E-2</c:v>
                </c:pt>
              </c:numCache>
            </c:numRef>
          </c:yVal>
          <c:smooth val="0"/>
          <c:extLst>
            <c:ext xmlns:c16="http://schemas.microsoft.com/office/drawing/2014/chart" uri="{C3380CC4-5D6E-409C-BE32-E72D297353CC}">
              <c16:uniqueId val="{00000001-9B95-4645-9D18-63A510543DEE}"/>
            </c:ext>
          </c:extLst>
        </c:ser>
        <c:ser>
          <c:idx val="3"/>
          <c:order val="14"/>
          <c:tx>
            <c:v>F105 CF with arch action</c:v>
          </c:tx>
          <c:spPr>
            <a:ln w="19050" cap="rnd">
              <a:solidFill>
                <a:schemeClr val="tx1"/>
              </a:solidFill>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'c'!$L$277:$L$387</c:f>
              <c:numCache>
                <c:formatCode>General</c:formatCode>
                <c:ptCount val="111"/>
                <c:pt idx="1">
                  <c:v>3.9748473376700903E-11</c:v>
                </c:pt>
                <c:pt idx="2">
                  <c:v>3.1548983143620638E-10</c:v>
                </c:pt>
                <c:pt idx="3">
                  <c:v>8.2709284133178666E-10</c:v>
                </c:pt>
                <c:pt idx="4">
                  <c:v>1.5366183402099433E-9</c:v>
                </c:pt>
                <c:pt idx="5">
                  <c:v>2.4189173757129786E-9</c:v>
                </c:pt>
                <c:pt idx="6">
                  <c:v>3.4573548328096675E-9</c:v>
                </c:pt>
                <c:pt idx="7">
                  <c:v>4.640610085572926E-9</c:v>
                </c:pt>
                <c:pt idx="8">
                  <c:v>5.9608672817158404E-9</c:v>
                </c:pt>
                <c:pt idx="9">
                  <c:v>7.4127633828189754E-9</c:v>
                </c:pt>
                <c:pt idx="10">
                  <c:v>8.9927460003567778E-9</c:v>
                </c:pt>
                <c:pt idx="11">
                  <c:v>1.0073166827430612E-8</c:v>
                </c:pt>
                <c:pt idx="12">
                  <c:v>2.8751053476286564E-8</c:v>
                </c:pt>
                <c:pt idx="13">
                  <c:v>3.6807662354261372E-8</c:v>
                </c:pt>
                <c:pt idx="14">
                  <c:v>4.7205611261647893E-8</c:v>
                </c:pt>
                <c:pt idx="15">
                  <c:v>5.8873394548549548E-8</c:v>
                </c:pt>
                <c:pt idx="16">
                  <c:v>7.1415651564199197E-8</c:v>
                </c:pt>
                <c:pt idx="17">
                  <c:v>8.9020798085469034E-8</c:v>
                </c:pt>
                <c:pt idx="18">
                  <c:v>1.00722043576125E-7</c:v>
                </c:pt>
                <c:pt idx="19">
                  <c:v>1.1384338126775429E-7</c:v>
                </c:pt>
                <c:pt idx="20">
                  <c:v>1.315694872885549E-7</c:v>
                </c:pt>
                <c:pt idx="21">
                  <c:v>2.2708166827268179E-6</c:v>
                </c:pt>
                <c:pt idx="22">
                  <c:v>2.9262877948176267E-6</c:v>
                </c:pt>
                <c:pt idx="23">
                  <c:v>3.8055698943758381E-6</c:v>
                </c:pt>
                <c:pt idx="24">
                  <c:v>6.189740491438829E-6</c:v>
                </c:pt>
                <c:pt idx="25">
                  <c:v>9.0805005768239285E-6</c:v>
                </c:pt>
                <c:pt idx="26">
                  <c:v>1.2445336987867594E-5</c:v>
                </c:pt>
                <c:pt idx="27">
                  <c:v>1.6271654859685054E-5</c:v>
                </c:pt>
                <c:pt idx="28">
                  <c:v>2.0552930381027251E-5</c:v>
                </c:pt>
                <c:pt idx="29">
                  <c:v>2.8100851363580337E-5</c:v>
                </c:pt>
                <c:pt idx="30">
                  <c:v>3.43854463610133E-5</c:v>
                </c:pt>
                <c:pt idx="31">
                  <c:v>4.1302009275195946E-5</c:v>
                </c:pt>
                <c:pt idx="32">
                  <c:v>4.8851578846515178E-5</c:v>
                </c:pt>
                <c:pt idx="33">
                  <c:v>5.7036059614634993E-5</c:v>
                </c:pt>
                <c:pt idx="34">
                  <c:v>6.585804564631643E-5</c:v>
                </c:pt>
                <c:pt idx="35">
                  <c:v>7.5320697616824527E-5</c:v>
                </c:pt>
                <c:pt idx="36">
                  <c:v>8.5427661165195665E-5</c:v>
                </c:pt>
                <c:pt idx="37">
                  <c:v>9.748973710081314E-5</c:v>
                </c:pt>
                <c:pt idx="38">
                  <c:v>1.1075565674417104E-4</c:v>
                </c:pt>
                <c:pt idx="39">
                  <c:v>1.2500238263950028E-4</c:v>
                </c:pt>
                <c:pt idx="40">
                  <c:v>1.4023996571886177E-4</c:v>
                </c:pt>
                <c:pt idx="41">
                  <c:v>1.5647841125888631E-4</c:v>
                </c:pt>
                <c:pt idx="42">
                  <c:v>1.7372770154447674E-4</c:v>
                </c:pt>
                <c:pt idx="43">
                  <c:v>1.9199782914309236E-4</c:v>
                </c:pt>
                <c:pt idx="44">
                  <c:v>2.0229701614951089E-4</c:v>
                </c:pt>
                <c:pt idx="45">
                  <c:v>2.1022720398638652E-4</c:v>
                </c:pt>
                <c:pt idx="46">
                  <c:v>2.1838968985048781E-4</c:v>
                </c:pt>
                <c:pt idx="47">
                  <c:v>2.2678190085060582E-4</c:v>
                </c:pt>
                <c:pt idx="48">
                  <c:v>2.3540186744940432E-4</c:v>
                </c:pt>
                <c:pt idx="49">
                  <c:v>2.4424812142266188E-4</c:v>
                </c:pt>
                <c:pt idx="50">
                  <c:v>2.5331961613057078E-4</c:v>
                </c:pt>
                <c:pt idx="51">
                  <c:v>2.6261566213610886E-4</c:v>
                </c:pt>
                <c:pt idx="52">
                  <c:v>2.7213587822231877E-4</c:v>
                </c:pt>
                <c:pt idx="53">
                  <c:v>2.8188015084589684E-4</c:v>
                </c:pt>
                <c:pt idx="54">
                  <c:v>2.918486040877735E-4</c:v>
                </c:pt>
                <c:pt idx="55">
                  <c:v>3.0204157493058097E-4</c:v>
                </c:pt>
                <c:pt idx="56">
                  <c:v>3.1245959428467411E-4</c:v>
                </c:pt>
                <c:pt idx="57">
                  <c:v>3.2310337245202E-4</c:v>
                </c:pt>
                <c:pt idx="58">
                  <c:v>3.3397378787133598E-4</c:v>
                </c:pt>
                <c:pt idx="59">
                  <c:v>3.4507188039552055E-4</c:v>
                </c:pt>
                <c:pt idx="60">
                  <c:v>3.5639884427829247E-4</c:v>
                </c:pt>
                <c:pt idx="61">
                  <c:v>3.6795602596830678E-4</c:v>
                </c:pt>
                <c:pt idx="62">
                  <c:v>3.7974492246525674E-4</c:v>
                </c:pt>
                <c:pt idx="63">
                  <c:v>3.9176718204993779E-4</c:v>
                </c:pt>
                <c:pt idx="64">
                  <c:v>5.2778475018266176E-4</c:v>
                </c:pt>
                <c:pt idx="65">
                  <c:v>5.8192145089132092E-4</c:v>
                </c:pt>
                <c:pt idx="66">
                  <c:v>6.1267273771247518E-4</c:v>
                </c:pt>
                <c:pt idx="67">
                  <c:v>6.4438791796547377E-4</c:v>
                </c:pt>
                <c:pt idx="68">
                  <c:v>6.7761726322207341E-4</c:v>
                </c:pt>
                <c:pt idx="69">
                  <c:v>7.1292997875586277E-4</c:v>
                </c:pt>
                <c:pt idx="70">
                  <c:v>9.2383395008644115E-4</c:v>
                </c:pt>
                <c:pt idx="71">
                  <c:v>9.7208346143493746E-4</c:v>
                </c:pt>
                <c:pt idx="72">
                  <c:v>1.0216889297659502E-3</c:v>
                </c:pt>
                <c:pt idx="73">
                  <c:v>1.0726541564866042E-3</c:v>
                </c:pt>
                <c:pt idx="74">
                  <c:v>1.1249828328874097E-3</c:v>
                </c:pt>
                <c:pt idx="75">
                  <c:v>1.1786785373050454E-3</c:v>
                </c:pt>
                <c:pt idx="76">
                  <c:v>1.2337447507031253E-3</c:v>
                </c:pt>
                <c:pt idx="77">
                  <c:v>1.2901848713639168E-3</c:v>
                </c:pt>
                <c:pt idx="78">
                  <c:v>2.3422353009023475E-3</c:v>
                </c:pt>
                <c:pt idx="79">
                  <c:v>2.4044086995741684E-3</c:v>
                </c:pt>
                <c:pt idx="80">
                  <c:v>2.4674673730600122E-3</c:v>
                </c:pt>
                <c:pt idx="81">
                  <c:v>2.5314089915776487E-3</c:v>
                </c:pt>
                <c:pt idx="82">
                  <c:v>2.5962313125594888E-3</c:v>
                </c:pt>
                <c:pt idx="83">
                  <c:v>2.6619321981300277E-3</c:v>
                </c:pt>
                <c:pt idx="84">
                  <c:v>2.7285095828734401E-3</c:v>
                </c:pt>
                <c:pt idx="85">
                  <c:v>2.7959614902604473E-3</c:v>
                </c:pt>
                <c:pt idx="86">
                  <c:v>2.8642860092275547E-3</c:v>
                </c:pt>
                <c:pt idx="87">
                  <c:v>2.9334812928498251E-3</c:v>
                </c:pt>
                <c:pt idx="88">
                  <c:v>3.0085844360516587E-3</c:v>
                </c:pt>
                <c:pt idx="89">
                  <c:v>3.08605718294397E-3</c:v>
                </c:pt>
                <c:pt idx="90">
                  <c:v>3.1647212887782306E-3</c:v>
                </c:pt>
                <c:pt idx="91">
                  <c:v>3.2445754213873963E-3</c:v>
                </c:pt>
                <c:pt idx="92">
                  <c:v>3.325618349890677E-3</c:v>
                </c:pt>
                <c:pt idx="93">
                  <c:v>3.4078489129540299E-3</c:v>
                </c:pt>
                <c:pt idx="94">
                  <c:v>3.6160339540661736E-3</c:v>
                </c:pt>
                <c:pt idx="95">
                  <c:v>3.7127944527576527E-3</c:v>
                </c:pt>
                <c:pt idx="96">
                  <c:v>3.8111054706047912E-3</c:v>
                </c:pt>
                <c:pt idx="97">
                  <c:v>3.9109674413678715E-3</c:v>
                </c:pt>
                <c:pt idx="98">
                  <c:v>4.0123808165849718E-3</c:v>
                </c:pt>
                <c:pt idx="99">
                  <c:v>4.1153460631056004E-3</c:v>
                </c:pt>
                <c:pt idx="100">
                  <c:v>4.2198636457167942E-3</c:v>
                </c:pt>
                <c:pt idx="101">
                  <c:v>4.3259340382943625E-3</c:v>
                </c:pt>
                <c:pt idx="102">
                  <c:v>4.5427351338740039E-3</c:v>
                </c:pt>
                <c:pt idx="103">
                  <c:v>4.7682605282299579E-3</c:v>
                </c:pt>
                <c:pt idx="104">
                  <c:v>5.0126136057078189E-3</c:v>
                </c:pt>
                <c:pt idx="105">
                  <c:v>5.2641489082068125E-3</c:v>
                </c:pt>
                <c:pt idx="106">
                  <c:v>5.5228779260428455E-3</c:v>
                </c:pt>
                <c:pt idx="107">
                  <c:v>5.7888113699360822E-3</c:v>
                </c:pt>
                <c:pt idx="108">
                  <c:v>6.0619592161889214E-3</c:v>
                </c:pt>
                <c:pt idx="109">
                  <c:v>6.3423307141329197E-3</c:v>
                </c:pt>
                <c:pt idx="110">
                  <c:v>6.6299344525542828E-3</c:v>
                </c:pt>
              </c:numCache>
            </c:numRef>
          </c:yVal>
          <c:smooth val="0"/>
          <c:extLst>
            <c:ext xmlns:c16="http://schemas.microsoft.com/office/drawing/2014/chart" uri="{C3380CC4-5D6E-409C-BE32-E72D297353CC}">
              <c16:uniqueId val="{00000002-9B95-4645-9D18-63A510543DEE}"/>
            </c:ext>
          </c:extLst>
        </c:ser>
        <c:ser>
          <c:idx val="15"/>
          <c:order val="15"/>
          <c:tx>
            <c:v>F105 IL with arch action</c:v>
          </c:tx>
          <c:spPr>
            <a:ln w="19050" cap="rnd">
              <a:solidFill>
                <a:schemeClr val="tx1"/>
              </a:solidFill>
              <a:prstDash val="dash"/>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'c'!$M$277:$M$387</c:f>
              <c:numCache>
                <c:formatCode>General</c:formatCode>
                <c:ptCount val="111"/>
                <c:pt idx="1">
                  <c:v>1.1113999936810894E-10</c:v>
                </c:pt>
                <c:pt idx="2">
                  <c:v>3.9085356812067546E-10</c:v>
                </c:pt>
                <c:pt idx="3">
                  <c:v>8.3427691384768017E-10</c:v>
                </c:pt>
                <c:pt idx="4">
                  <c:v>1.386608795981331E-9</c:v>
                </c:pt>
                <c:pt idx="5">
                  <c:v>2.0226752460063418E-9</c:v>
                </c:pt>
                <c:pt idx="6">
                  <c:v>2.7289644380883384E-9</c:v>
                </c:pt>
                <c:pt idx="7">
                  <c:v>3.4913347001537886E-9</c:v>
                </c:pt>
                <c:pt idx="8">
                  <c:v>3.4543392079667602E-9</c:v>
                </c:pt>
                <c:pt idx="9">
                  <c:v>3.693762720302251E-9</c:v>
                </c:pt>
                <c:pt idx="10">
                  <c:v>4.5717984237724724E-9</c:v>
                </c:pt>
                <c:pt idx="11">
                  <c:v>5.1497661521165076E-9</c:v>
                </c:pt>
                <c:pt idx="12">
                  <c:v>1.8874537178687715E-8</c:v>
                </c:pt>
                <c:pt idx="13">
                  <c:v>3.8466304563914844E-8</c:v>
                </c:pt>
                <c:pt idx="14">
                  <c:v>6.0949680753147779E-8</c:v>
                </c:pt>
                <c:pt idx="15">
                  <c:v>8.844075414107319E-8</c:v>
                </c:pt>
                <c:pt idx="16">
                  <c:v>1.2017884915995771E-7</c:v>
                </c:pt>
                <c:pt idx="17">
                  <c:v>1.637265068013284E-7</c:v>
                </c:pt>
                <c:pt idx="18">
                  <c:v>1.7894685808443051E-7</c:v>
                </c:pt>
                <c:pt idx="19">
                  <c:v>1.9658830059935706E-7</c:v>
                </c:pt>
                <c:pt idx="20">
                  <c:v>2.1782290756683059E-7</c:v>
                </c:pt>
                <c:pt idx="21">
                  <c:v>7.3926863324290077E-7</c:v>
                </c:pt>
                <c:pt idx="22">
                  <c:v>1.5274690072712609E-6</c:v>
                </c:pt>
                <c:pt idx="23">
                  <c:v>2.7605551119096361E-6</c:v>
                </c:pt>
                <c:pt idx="24">
                  <c:v>3.5046970967206028E-6</c:v>
                </c:pt>
                <c:pt idx="25">
                  <c:v>4.9159810657185231E-6</c:v>
                </c:pt>
                <c:pt idx="26">
                  <c:v>6.758946534605063E-6</c:v>
                </c:pt>
                <c:pt idx="27">
                  <c:v>9.4264381886135586E-6</c:v>
                </c:pt>
                <c:pt idx="28">
                  <c:v>1.3104463288953433E-5</c:v>
                </c:pt>
                <c:pt idx="29">
                  <c:v>1.7513963495895657E-5</c:v>
                </c:pt>
                <c:pt idx="30">
                  <c:v>2.2682228936844401E-5</c:v>
                </c:pt>
                <c:pt idx="31">
                  <c:v>2.8631892214866364E-5</c:v>
                </c:pt>
                <c:pt idx="32">
                  <c:v>3.5777512616206827E-5</c:v>
                </c:pt>
                <c:pt idx="33">
                  <c:v>4.2473286411583291E-5</c:v>
                </c:pt>
                <c:pt idx="34">
                  <c:v>4.7124655814654581E-5</c:v>
                </c:pt>
                <c:pt idx="35">
                  <c:v>5.887865245142145E-5</c:v>
                </c:pt>
                <c:pt idx="36">
                  <c:v>6.7359040290702269E-5</c:v>
                </c:pt>
                <c:pt idx="37">
                  <c:v>7.6964746816096747E-5</c:v>
                </c:pt>
                <c:pt idx="38">
                  <c:v>8.7744909369710439E-5</c:v>
                </c:pt>
                <c:pt idx="39">
                  <c:v>9.9749127720937745E-5</c:v>
                </c:pt>
                <c:pt idx="40">
                  <c:v>1.1302634086549948E-4</c:v>
                </c:pt>
                <c:pt idx="41">
                  <c:v>1.2762409128050999E-4</c:v>
                </c:pt>
                <c:pt idx="42">
                  <c:v>1.4358805304567055E-4</c:v>
                </c:pt>
                <c:pt idx="43">
                  <c:v>1.6096174754366357E-4</c:v>
                </c:pt>
                <c:pt idx="44">
                  <c:v>1.7978638421738577E-4</c:v>
                </c:pt>
                <c:pt idx="45">
                  <c:v>2.0535040165456391E-4</c:v>
                </c:pt>
                <c:pt idx="46">
                  <c:v>2.340138819214913E-4</c:v>
                </c:pt>
                <c:pt idx="47">
                  <c:v>2.6520993097891205E-4</c:v>
                </c:pt>
                <c:pt idx="48">
                  <c:v>3.0050896385971551E-4</c:v>
                </c:pt>
                <c:pt idx="49">
                  <c:v>3.3775292861303974E-4</c:v>
                </c:pt>
                <c:pt idx="50">
                  <c:v>3.709417071890615E-4</c:v>
                </c:pt>
                <c:pt idx="51">
                  <c:v>3.9927859797680477E-4</c:v>
                </c:pt>
                <c:pt idx="52">
                  <c:v>4.3678241292898845E-4</c:v>
                </c:pt>
                <c:pt idx="53">
                  <c:v>4.8367044179855294E-4</c:v>
                </c:pt>
                <c:pt idx="54">
                  <c:v>5.3423040464884721E-4</c:v>
                </c:pt>
                <c:pt idx="55">
                  <c:v>5.8856813481953101E-4</c:v>
                </c:pt>
                <c:pt idx="56">
                  <c:v>6.4678580451235093E-4</c:v>
                </c:pt>
                <c:pt idx="57">
                  <c:v>7.0898181675298026E-4</c:v>
                </c:pt>
                <c:pt idx="58">
                  <c:v>7.7525074603851493E-4</c:v>
                </c:pt>
                <c:pt idx="59">
                  <c:v>8.4568333047425025E-4</c:v>
                </c:pt>
                <c:pt idx="60">
                  <c:v>9.2036648185836489E-4</c:v>
                </c:pt>
                <c:pt idx="61">
                  <c:v>9.9938333672386424E-4</c:v>
                </c:pt>
                <c:pt idx="62">
                  <c:v>9.6159274258980653E-4</c:v>
                </c:pt>
                <c:pt idx="63">
                  <c:v>1.0458309489576878E-3</c:v>
                </c:pt>
                <c:pt idx="64">
                  <c:v>1.1346558612407897E-3</c:v>
                </c:pt>
                <c:pt idx="65">
                  <c:v>1.228138815730652E-3</c:v>
                </c:pt>
                <c:pt idx="66">
                  <c:v>1.3263475254089189E-3</c:v>
                </c:pt>
                <c:pt idx="67">
                  <c:v>1.4293461991406286E-3</c:v>
                </c:pt>
                <c:pt idx="68">
                  <c:v>1.5445418930743445E-3</c:v>
                </c:pt>
                <c:pt idx="69">
                  <c:v>1.6606702924234506E-3</c:v>
                </c:pt>
                <c:pt idx="70">
                  <c:v>1.7824717377291992E-3</c:v>
                </c:pt>
                <c:pt idx="71">
                  <c:v>1.9100290823675108E-3</c:v>
                </c:pt>
                <c:pt idx="72">
                  <c:v>2.1212166362948961E-3</c:v>
                </c:pt>
                <c:pt idx="73">
                  <c:v>2.2801442802979715E-3</c:v>
                </c:pt>
                <c:pt idx="74">
                  <c:v>2.4417650242933601E-3</c:v>
                </c:pt>
                <c:pt idx="75">
                  <c:v>2.6017827363318037E-3</c:v>
                </c:pt>
                <c:pt idx="76">
                  <c:v>2.7284820323790651E-3</c:v>
                </c:pt>
                <c:pt idx="77">
                  <c:v>2.8619119630298412E-3</c:v>
                </c:pt>
                <c:pt idx="78">
                  <c:v>3.0021994100350529E-3</c:v>
                </c:pt>
                <c:pt idx="79">
                  <c:v>3.149472900787141E-3</c:v>
                </c:pt>
                <c:pt idx="80">
                  <c:v>3.3038619995413784E-3</c:v>
                </c:pt>
                <c:pt idx="81">
                  <c:v>3.4654968217482378E-3</c:v>
                </c:pt>
                <c:pt idx="82">
                  <c:v>3.6345075514849098E-3</c:v>
                </c:pt>
                <c:pt idx="83">
                  <c:v>3.8078671814578812E-3</c:v>
                </c:pt>
                <c:pt idx="84">
                  <c:v>3.9938759564089469E-3</c:v>
                </c:pt>
                <c:pt idx="85">
                  <c:v>4.1868471615238339E-3</c:v>
                </c:pt>
                <c:pt idx="86">
                  <c:v>4.3868698237022677E-3</c:v>
                </c:pt>
                <c:pt idx="87">
                  <c:v>4.5940312948245764E-3</c:v>
                </c:pt>
                <c:pt idx="88">
                  <c:v>4.8084172056237131E-3</c:v>
                </c:pt>
                <c:pt idx="89">
                  <c:v>5.0301113844823473E-3</c:v>
                </c:pt>
                <c:pt idx="90">
                  <c:v>5.2591958339308423E-3</c:v>
                </c:pt>
                <c:pt idx="91">
                  <c:v>5.4957506869749151E-3</c:v>
                </c:pt>
                <c:pt idx="92">
                  <c:v>5.7398542073121128E-3</c:v>
                </c:pt>
                <c:pt idx="93">
                  <c:v>5.9915827363849206E-3</c:v>
                </c:pt>
                <c:pt idx="94">
                  <c:v>6.2510107352757426E-3</c:v>
                </c:pt>
                <c:pt idx="95">
                  <c:v>6.5182107392005618E-3</c:v>
                </c:pt>
                <c:pt idx="96">
                  <c:v>6.8141362708563418E-3</c:v>
                </c:pt>
                <c:pt idx="97">
                  <c:v>7.104125586237635E-3</c:v>
                </c:pt>
                <c:pt idx="98">
                  <c:v>7.5166783903651791E-3</c:v>
                </c:pt>
                <c:pt idx="99">
                  <c:v>7.8533016683889189E-3</c:v>
                </c:pt>
                <c:pt idx="100">
                  <c:v>8.2026976431423884E-3</c:v>
                </c:pt>
                <c:pt idx="101">
                  <c:v>8.56504356828117E-3</c:v>
                </c:pt>
                <c:pt idx="102">
                  <c:v>9.3292864139727164E-3</c:v>
                </c:pt>
                <c:pt idx="103">
                  <c:v>1.0147414594515139E-2</c:v>
                </c:pt>
                <c:pt idx="104">
                  <c:v>1.102078121275623E-2</c:v>
                </c:pt>
                <c:pt idx="105">
                  <c:v>1.1950704735045219E-2</c:v>
                </c:pt>
                <c:pt idx="106">
                  <c:v>1.2938394227385706E-2</c:v>
                </c:pt>
                <c:pt idx="107">
                  <c:v>1.3984772505004479E-2</c:v>
                </c:pt>
                <c:pt idx="108">
                  <c:v>1.5091399126777231E-2</c:v>
                </c:pt>
                <c:pt idx="109">
                  <c:v>1.6259434115213391E-2</c:v>
                </c:pt>
                <c:pt idx="110">
                  <c:v>1.7489996009629326E-2</c:v>
                </c:pt>
              </c:numCache>
            </c:numRef>
          </c:yVal>
          <c:smooth val="0"/>
          <c:extLst>
            <c:ext xmlns:c16="http://schemas.microsoft.com/office/drawing/2014/chart" uri="{C3380CC4-5D6E-409C-BE32-E72D297353CC}">
              <c16:uniqueId val="{00000003-9B95-4645-9D18-63A510543DEE}"/>
            </c:ext>
          </c:extLst>
        </c:ser>
        <c:ser>
          <c:idx val="16"/>
          <c:order val="16"/>
          <c:tx>
            <c:v>CF Eq. (17)</c:v>
          </c:tx>
          <c:spPr>
            <a:ln w="25400" cap="rnd">
              <a:solidFill>
                <a:schemeClr val="accent6"/>
              </a:solidFill>
              <a:round/>
            </a:ln>
            <a:effectLst/>
          </c:spPr>
          <c:marker>
            <c:symbol val="none"/>
          </c:marker>
          <c:xVal>
            <c:numRef>
              <c:f>'c'!$F$278:$F$387</c:f>
              <c:numCache>
                <c:formatCode>General</c:formatCode>
                <c:ptCount val="110"/>
                <c:pt idx="0">
                  <c:v>0.33267829875372046</c:v>
                </c:pt>
                <c:pt idx="1">
                  <c:v>0.39575656446617141</c:v>
                </c:pt>
                <c:pt idx="2">
                  <c:v>0.4381239752610987</c:v>
                </c:pt>
                <c:pt idx="3">
                  <c:v>0.47095314585805481</c:v>
                </c:pt>
                <c:pt idx="4">
                  <c:v>0.49813966592157205</c:v>
                </c:pt>
                <c:pt idx="5">
                  <c:v>0.52154559001759349</c:v>
                </c:pt>
                <c:pt idx="6">
                  <c:v>0.54221900665800793</c:v>
                </c:pt>
                <c:pt idx="7">
                  <c:v>0.56081343243821846</c:v>
                </c:pt>
                <c:pt idx="8">
                  <c:v>0.57776621465058287</c:v>
                </c:pt>
                <c:pt idx="9">
                  <c:v>0.59338565253686926</c:v>
                </c:pt>
                <c:pt idx="10">
                  <c:v>0.60281476301413028</c:v>
                </c:pt>
                <c:pt idx="11">
                  <c:v>0.71942354220977323</c:v>
                </c:pt>
                <c:pt idx="12">
                  <c:v>0.79899102696837254</c:v>
                </c:pt>
                <c:pt idx="13">
                  <c:v>0.8615932124770711</c:v>
                </c:pt>
                <c:pt idx="14">
                  <c:v>0.91421167354847854</c:v>
                </c:pt>
                <c:pt idx="15">
                  <c:v>0.96017509786639244</c:v>
                </c:pt>
                <c:pt idx="16">
                  <c:v>1.0013523954863526</c:v>
                </c:pt>
                <c:pt idx="17">
                  <c:v>1.0389059681607336</c:v>
                </c:pt>
                <c:pt idx="18">
                  <c:v>1.0736117603431587</c:v>
                </c:pt>
                <c:pt idx="19">
                  <c:v>1.1060153724490303</c:v>
                </c:pt>
                <c:pt idx="20">
                  <c:v>1.3593114846545298</c:v>
                </c:pt>
                <c:pt idx="21">
                  <c:v>1.5519544609164551</c:v>
                </c:pt>
                <c:pt idx="22">
                  <c:v>1.7177124856520969</c:v>
                </c:pt>
                <c:pt idx="23">
                  <c:v>1.8679819295741455</c:v>
                </c:pt>
                <c:pt idx="24">
                  <c:v>2.0080465492169632</c:v>
                </c:pt>
                <c:pt idx="25">
                  <c:v>2.1407975034095226</c:v>
                </c:pt>
                <c:pt idx="26">
                  <c:v>2.2679919604819596</c:v>
                </c:pt>
                <c:pt idx="27">
                  <c:v>2.3907796003245791</c:v>
                </c:pt>
                <c:pt idx="28">
                  <c:v>2.5099553283107761</c:v>
                </c:pt>
                <c:pt idx="29">
                  <c:v>2.626093014352795</c:v>
                </c:pt>
                <c:pt idx="30">
                  <c:v>2.7396216640525002</c:v>
                </c:pt>
                <c:pt idx="31">
                  <c:v>2.8508713737224554</c:v>
                </c:pt>
                <c:pt idx="32">
                  <c:v>2.9601023770646941</c:v>
                </c:pt>
                <c:pt idx="33">
                  <c:v>3.0675241265171453</c:v>
                </c:pt>
                <c:pt idx="34">
                  <c:v>3.1733082431755895</c:v>
                </c:pt>
                <c:pt idx="35">
                  <c:v>3.2775975546217837</c:v>
                </c:pt>
                <c:pt idx="36">
                  <c:v>3.3805125576606585</c:v>
                </c:pt>
                <c:pt idx="37">
                  <c:v>3.4821561394951028</c:v>
                </c:pt>
                <c:pt idx="38">
                  <c:v>3.5826170926931469</c:v>
                </c:pt>
                <c:pt idx="39">
                  <c:v>3.6819727769082746</c:v>
                </c:pt>
                <c:pt idx="40">
                  <c:v>3.7802911655237672</c:v>
                </c:pt>
                <c:pt idx="41">
                  <c:v>3.8776324413028918</c:v>
                </c:pt>
                <c:pt idx="42">
                  <c:v>3.9740502562164406</c:v>
                </c:pt>
                <c:pt idx="43">
                  <c:v>4.0695927376681276</c:v>
                </c:pt>
                <c:pt idx="44">
                  <c:v>4.1643033007270569</c:v>
                </c:pt>
                <c:pt idx="45">
                  <c:v>4.2582213101981523</c:v>
                </c:pt>
                <c:pt idx="46">
                  <c:v>4.3513826251808867</c:v>
                </c:pt>
                <c:pt idx="47">
                  <c:v>4.44382005073171</c:v>
                </c:pt>
                <c:pt idx="48">
                  <c:v>4.535563715395309</c:v>
                </c:pt>
                <c:pt idx="49">
                  <c:v>4.6266413890586833</c:v>
                </c:pt>
                <c:pt idx="50">
                  <c:v>4.7170787523691358</c:v>
                </c:pt>
                <c:pt idx="51">
                  <c:v>4.8068996265376835</c:v>
                </c:pt>
                <c:pt idx="52">
                  <c:v>4.896126170509346</c:v>
                </c:pt>
                <c:pt idx="53">
                  <c:v>4.9847790510694718</c:v>
                </c:pt>
                <c:pt idx="54">
                  <c:v>5.0728775903620189</c:v>
                </c:pt>
                <c:pt idx="55">
                  <c:v>5.1604398944423906</c:v>
                </c:pt>
                <c:pt idx="56">
                  <c:v>5.2474829658163875</c:v>
                </c:pt>
                <c:pt idx="57">
                  <c:v>5.3340228023852623</c:v>
                </c:pt>
                <c:pt idx="58">
                  <c:v>5.4200744847927922</c:v>
                </c:pt>
                <c:pt idx="59">
                  <c:v>5.5056522538299753</c:v>
                </c:pt>
                <c:pt idx="60">
                  <c:v>5.5907695792778966</c:v>
                </c:pt>
                <c:pt idx="61">
                  <c:v>5.6754392213459282</c:v>
                </c:pt>
                <c:pt idx="62">
                  <c:v>5.7596732856798836</c:v>
                </c:pt>
                <c:pt idx="63">
                  <c:v>5.8434832727647521</c:v>
                </c:pt>
                <c:pt idx="64">
                  <c:v>5.926880122422844</c:v>
                </c:pt>
                <c:pt idx="65">
                  <c:v>6.0098742540054682</c:v>
                </c:pt>
                <c:pt idx="66">
                  <c:v>6.0924756027906408</c:v>
                </c:pt>
                <c:pt idx="67">
                  <c:v>6.1746936530276342</c:v>
                </c:pt>
                <c:pt idx="68">
                  <c:v>6.2565374680089754</c:v>
                </c:pt>
                <c:pt idx="69">
                  <c:v>6.3380157174995215</c:v>
                </c:pt>
                <c:pt idx="70">
                  <c:v>6.4191367028092783</c:v>
                </c:pt>
                <c:pt idx="71">
                  <c:v>6.4999083797598081</c:v>
                </c:pt>
                <c:pt idx="72">
                  <c:v>6.5803383797628907</c:v>
                </c:pt>
                <c:pt idx="73">
                  <c:v>6.6604340292031985</c:v>
                </c:pt>
                <c:pt idx="74">
                  <c:v>6.7402023672937421</c:v>
                </c:pt>
                <c:pt idx="75">
                  <c:v>6.8196501625529438</c:v>
                </c:pt>
                <c:pt idx="76">
                  <c:v>6.8987839280350522</c:v>
                </c:pt>
                <c:pt idx="77">
                  <c:v>6.97760993543063</c:v>
                </c:pt>
                <c:pt idx="78">
                  <c:v>7.0561342281409294</c:v>
                </c:pt>
                <c:pt idx="79">
                  <c:v>7.1343626334186618</c:v>
                </c:pt>
                <c:pt idx="80">
                  <c:v>7.2123007736577289</c:v>
                </c:pt>
                <c:pt idx="81">
                  <c:v>7.2899540769058362</c:v>
                </c:pt>
                <c:pt idx="82">
                  <c:v>7.3673277866662845</c:v>
                </c:pt>
                <c:pt idx="83">
                  <c:v>7.4444269710484958</c:v>
                </c:pt>
                <c:pt idx="84">
                  <c:v>7.5212565313209341</c:v>
                </c:pt>
                <c:pt idx="85">
                  <c:v>7.5978212099147466</c:v>
                </c:pt>
                <c:pt idx="86">
                  <c:v>7.6741255979219227</c:v>
                </c:pt>
                <c:pt idx="87">
                  <c:v>7.7501741421274861</c:v>
                </c:pt>
                <c:pt idx="88">
                  <c:v>7.8259711516116504</c:v>
                </c:pt>
                <c:pt idx="89">
                  <c:v>7.9015208039545151</c:v>
                </c:pt>
                <c:pt idx="90">
                  <c:v>7.9768271510730058</c:v>
                </c:pt>
                <c:pt idx="91">
                  <c:v>8.0518941247170073</c:v>
                </c:pt>
                <c:pt idx="92">
                  <c:v>8.1267255416494315</c:v>
                </c:pt>
                <c:pt idx="93">
                  <c:v>8.2013251085326946</c:v>
                </c:pt>
                <c:pt idx="94">
                  <c:v>8.2756964265422575</c:v>
                </c:pt>
                <c:pt idx="95">
                  <c:v>8.3498429957261013</c:v>
                </c:pt>
                <c:pt idx="96">
                  <c:v>8.4237682191274885</c:v>
                </c:pt>
                <c:pt idx="97">
                  <c:v>8.4974754066869398</c:v>
                </c:pt>
                <c:pt idx="98">
                  <c:v>8.5709677789380798</c:v>
                </c:pt>
                <c:pt idx="99">
                  <c:v>8.6442484705107994</c:v>
                </c:pt>
                <c:pt idx="100">
                  <c:v>8.7173205334542683</c:v>
                </c:pt>
                <c:pt idx="101">
                  <c:v>8.8628505875138508</c:v>
                </c:pt>
                <c:pt idx="102">
                  <c:v>9.0075808218821223</c:v>
                </c:pt>
                <c:pt idx="103">
                  <c:v>9.1515329822958833</c:v>
                </c:pt>
                <c:pt idx="104">
                  <c:v>9.2947277601081097</c:v>
                </c:pt>
                <c:pt idx="105">
                  <c:v>9.437184865503065</c:v>
                </c:pt>
                <c:pt idx="106">
                  <c:v>9.5789230941196593</c:v>
                </c:pt>
                <c:pt idx="107">
                  <c:v>9.7199603878095537</c:v>
                </c:pt>
                <c:pt idx="108">
                  <c:v>9.8603138901621428</c:v>
                </c:pt>
                <c:pt idx="109">
                  <c:v>9.9999999973481977</c:v>
                </c:pt>
              </c:numCache>
            </c:numRef>
          </c:xVal>
          <c:yVal>
            <c:numRef>
              <c:f>'c'!$N$278:$N$387</c:f>
              <c:numCache>
                <c:formatCode>General</c:formatCode>
                <c:ptCount val="110"/>
                <c:pt idx="0">
                  <c:v>1.2338953258051881E-10</c:v>
                </c:pt>
                <c:pt idx="1">
                  <c:v>4.3718141738194607E-10</c:v>
                </c:pt>
                <c:pt idx="2">
                  <c:v>9.0416810170687262E-10</c:v>
                </c:pt>
                <c:pt idx="3">
                  <c:v>1.5040755402847718E-9</c:v>
                </c:pt>
                <c:pt idx="4">
                  <c:v>2.2230427981943394E-9</c:v>
                </c:pt>
                <c:pt idx="5">
                  <c:v>3.0506933397278447E-9</c:v>
                </c:pt>
                <c:pt idx="6">
                  <c:v>3.9788397980301784E-9</c:v>
                </c:pt>
                <c:pt idx="7">
                  <c:v>5.0007923670393106E-9</c:v>
                </c:pt>
                <c:pt idx="8">
                  <c:v>6.1109457322553457E-9</c:v>
                </c:pt>
                <c:pt idx="9">
                  <c:v>7.3045129289608201E-9</c:v>
                </c:pt>
                <c:pt idx="10">
                  <c:v>8.1125073862167554E-9</c:v>
                </c:pt>
                <c:pt idx="11">
                  <c:v>2.557761090219622E-8</c:v>
                </c:pt>
                <c:pt idx="12">
                  <c:v>4.9222463786510578E-8</c:v>
                </c:pt>
                <c:pt idx="13">
                  <c:v>7.7788868388052587E-8</c:v>
                </c:pt>
                <c:pt idx="14">
                  <c:v>1.1057204511177577E-7</c:v>
                </c:pt>
                <c:pt idx="15">
                  <c:v>1.4712244583712424E-7</c:v>
                </c:pt>
                <c:pt idx="16">
                  <c:v>1.8713171583921812E-7</c:v>
                </c:pt>
                <c:pt idx="17">
                  <c:v>2.3037836049789246E-7</c:v>
                </c:pt>
                <c:pt idx="18">
                  <c:v>2.766982625412102E-7</c:v>
                </c:pt>
                <c:pt idx="19">
                  <c:v>3.259672128258595E-7</c:v>
                </c:pt>
                <c:pt idx="20">
                  <c:v>9.6757946858570265E-7</c:v>
                </c:pt>
                <c:pt idx="21">
                  <c:v>1.8689899440027636E-6</c:v>
                </c:pt>
                <c:pt idx="22">
                  <c:v>3.0383557774552815E-6</c:v>
                </c:pt>
                <c:pt idx="23">
                  <c:v>4.4951934310927198E-6</c:v>
                </c:pt>
                <c:pt idx="24">
                  <c:v>6.2633766524939435E-6</c:v>
                </c:pt>
                <c:pt idx="25">
                  <c:v>8.3690220870723502E-6</c:v>
                </c:pt>
                <c:pt idx="26">
                  <c:v>1.0839628678422078E-5</c:v>
                </c:pt>
                <c:pt idx="27">
                  <c:v>1.3703659217482213E-5</c:v>
                </c:pt>
                <c:pt idx="28">
                  <c:v>1.699031022514771E-5</c:v>
                </c:pt>
                <c:pt idx="29">
                  <c:v>2.072937306554706E-5</c:v>
                </c:pt>
                <c:pt idx="30">
                  <c:v>2.4951143645684857E-5</c:v>
                </c:pt>
                <c:pt idx="31">
                  <c:v>2.9686359975061549E-5</c:v>
                </c:pt>
                <c:pt idx="32">
                  <c:v>3.4966156691987941E-5</c:v>
                </c:pt>
                <c:pt idx="33">
                  <c:v>4.082203046104695E-5</c:v>
                </c:pt>
                <c:pt idx="34">
                  <c:v>4.7285812649399093E-5</c:v>
                </c:pt>
                <c:pt idx="35">
                  <c:v>5.4389647069631171E-5</c:v>
                </c:pt>
                <c:pt idx="36">
                  <c:v>6.2165971373556947E-5</c:v>
                </c:pt>
                <c:pt idx="37">
                  <c:v>7.0647501160031988E-5</c:v>
                </c:pt>
                <c:pt idx="38">
                  <c:v>7.9867216157392129E-5</c:v>
                </c:pt>
                <c:pt idx="39">
                  <c:v>8.9858348031980953E-5</c:v>
                </c:pt>
                <c:pt idx="40">
                  <c:v>1.006543694999777E-4</c:v>
                </c:pt>
                <c:pt idx="41">
                  <c:v>1.1228898450473905E-4</c:v>
                </c:pt>
                <c:pt idx="42">
                  <c:v>1.2479611928064533E-4</c:v>
                </c:pt>
                <c:pt idx="43">
                  <c:v>1.3820991416597835E-4</c:v>
                </c:pt>
                <c:pt idx="44">
                  <c:v>1.5256471605725266E-4</c:v>
                </c:pt>
                <c:pt idx="45">
                  <c:v>1.6789507141945091E-4</c:v>
                </c:pt>
                <c:pt idx="46">
                  <c:v>1.8423571978296081E-4</c:v>
                </c:pt>
                <c:pt idx="47">
                  <c:v>2.0162158767053531E-4</c:v>
                </c:pt>
                <c:pt idx="48">
                  <c:v>2.200877829071681E-4</c:v>
                </c:pt>
                <c:pt idx="49">
                  <c:v>2.39669589273338E-4</c:v>
                </c:pt>
                <c:pt idx="50">
                  <c:v>2.6040246146796894E-4</c:v>
                </c:pt>
                <c:pt idx="51">
                  <c:v>2.8232202035237712E-4</c:v>
                </c:pt>
                <c:pt idx="52">
                  <c:v>3.0546404845018524E-4</c:v>
                </c:pt>
                <c:pt idx="53">
                  <c:v>3.2986448568153186E-4</c:v>
                </c:pt>
                <c:pt idx="54">
                  <c:v>3.555594253125427E-4</c:v>
                </c:pt>
                <c:pt idx="55">
                  <c:v>3.8258511010308475E-4</c:v>
                </c:pt>
                <c:pt idx="56">
                  <c:v>4.1097792863799878E-4</c:v>
                </c:pt>
                <c:pt idx="57">
                  <c:v>4.4077441182831999E-4</c:v>
                </c:pt>
                <c:pt idx="58">
                  <c:v>4.7201122957053E-4</c:v>
                </c:pt>
                <c:pt idx="59">
                  <c:v>5.0472518755300918E-4</c:v>
                </c:pt>
                <c:pt idx="60">
                  <c:v>5.3895322419993986E-4</c:v>
                </c:pt>
                <c:pt idx="61">
                  <c:v>5.7473240774377754E-4</c:v>
                </c:pt>
                <c:pt idx="62">
                  <c:v>6.1209993341812216E-4</c:v>
                </c:pt>
                <c:pt idx="63">
                  <c:v>6.5109312076371245E-4</c:v>
                </c:pt>
                <c:pt idx="64">
                  <c:v>6.9174941104070415E-4</c:v>
                </c:pt>
                <c:pt idx="65">
                  <c:v>7.3410636474098903E-4</c:v>
                </c:pt>
                <c:pt idx="66">
                  <c:v>7.7820165919495585E-4</c:v>
                </c:pt>
                <c:pt idx="67">
                  <c:v>8.240730862671959E-4</c:v>
                </c:pt>
                <c:pt idx="68">
                  <c:v>8.7175855013656275E-4</c:v>
                </c:pt>
                <c:pt idx="69">
                  <c:v>9.2129606515569719E-4</c:v>
                </c:pt>
                <c:pt idx="70">
                  <c:v>9.7272375378623242E-4</c:v>
                </c:pt>
                <c:pt idx="71">
                  <c:v>1.0260798446053369E-3</c:v>
                </c:pt>
                <c:pt idx="72">
                  <c:v>1.0814026703804536E-3</c:v>
                </c:pt>
                <c:pt idx="73">
                  <c:v>1.1387306662083857E-3</c:v>
                </c:pt>
                <c:pt idx="74">
                  <c:v>1.1981023677158085E-3</c:v>
                </c:pt>
                <c:pt idx="75">
                  <c:v>1.259556409318272E-3</c:v>
                </c:pt>
                <c:pt idx="76">
                  <c:v>1.3231315225348554E-3</c:v>
                </c:pt>
                <c:pt idx="77">
                  <c:v>1.3888665343558628E-3</c:v>
                </c:pt>
                <c:pt idx="78">
                  <c:v>1.4568003656611358E-3</c:v>
                </c:pt>
                <c:pt idx="79">
                  <c:v>1.5269720296868055E-3</c:v>
                </c:pt>
                <c:pt idx="80">
                  <c:v>1.5994206305381307E-3</c:v>
                </c:pt>
                <c:pt idx="81">
                  <c:v>1.6741853617465731E-3</c:v>
                </c:pt>
                <c:pt idx="82">
                  <c:v>1.7513055048692728E-3</c:v>
                </c:pt>
                <c:pt idx="83">
                  <c:v>1.8308204281286293E-3</c:v>
                </c:pt>
                <c:pt idx="84">
                  <c:v>1.9127695850910892E-3</c:v>
                </c:pt>
                <c:pt idx="85">
                  <c:v>1.9971925133828328E-3</c:v>
                </c:pt>
                <c:pt idx="86">
                  <c:v>2.084128833441144E-3</c:v>
                </c:pt>
                <c:pt idx="87">
                  <c:v>2.1736182473001166E-3</c:v>
                </c:pt>
                <c:pt idx="88">
                  <c:v>2.2657005374090689E-3</c:v>
                </c:pt>
                <c:pt idx="89">
                  <c:v>2.3604155654826384E-3</c:v>
                </c:pt>
                <c:pt idx="90">
                  <c:v>2.4578032713811339E-3</c:v>
                </c:pt>
                <c:pt idx="91">
                  <c:v>2.5579036720201564E-3</c:v>
                </c:pt>
                <c:pt idx="92">
                  <c:v>2.6607568603082095E-3</c:v>
                </c:pt>
                <c:pt idx="93">
                  <c:v>2.766403004111431E-3</c:v>
                </c:pt>
                <c:pt idx="94">
                  <c:v>2.8748823452444047E-3</c:v>
                </c:pt>
                <c:pt idx="95">
                  <c:v>2.9862351984856648E-3</c:v>
                </c:pt>
                <c:pt idx="96">
                  <c:v>3.1005019506181626E-3</c:v>
                </c:pt>
                <c:pt idx="97">
                  <c:v>3.2177230594922068E-3</c:v>
                </c:pt>
                <c:pt idx="98">
                  <c:v>3.3379390531115172E-3</c:v>
                </c:pt>
                <c:pt idx="99">
                  <c:v>3.4611905287406154E-3</c:v>
                </c:pt>
                <c:pt idx="100">
                  <c:v>3.5875181520334224E-3</c:v>
                </c:pt>
                <c:pt idx="101">
                  <c:v>3.8495648410856132E-3</c:v>
                </c:pt>
                <c:pt idx="102">
                  <c:v>4.1244057814261636E-3</c:v>
                </c:pt>
                <c:pt idx="103">
                  <c:v>4.4123686759457072E-3</c:v>
                </c:pt>
                <c:pt idx="104">
                  <c:v>4.7137822446779668E-3</c:v>
                </c:pt>
                <c:pt idx="105">
                  <c:v>5.0289762012736125E-3</c:v>
                </c:pt>
                <c:pt idx="106">
                  <c:v>5.3582812304695804E-3</c:v>
                </c:pt>
                <c:pt idx="107">
                  <c:v>5.702028966496079E-3</c:v>
                </c:pt>
                <c:pt idx="108">
                  <c:v>6.0605519723629878E-3</c:v>
                </c:pt>
                <c:pt idx="109">
                  <c:v>6.4341837199757652E-3</c:v>
                </c:pt>
              </c:numCache>
            </c:numRef>
          </c:yVal>
          <c:smooth val="0"/>
          <c:extLst>
            <c:ext xmlns:c16="http://schemas.microsoft.com/office/drawing/2014/chart" uri="{C3380CC4-5D6E-409C-BE32-E72D297353CC}">
              <c16:uniqueId val="{00000000-F2C8-4991-BFBF-2BB73EAE5203}"/>
            </c:ext>
          </c:extLst>
        </c:ser>
        <c:ser>
          <c:idx val="17"/>
          <c:order val="17"/>
          <c:tx>
            <c:v>IL Eq. (17)</c:v>
          </c:tx>
          <c:spPr>
            <a:ln w="25400" cap="rnd">
              <a:solidFill>
                <a:schemeClr val="accent6"/>
              </a:solidFill>
              <a:prstDash val="dash"/>
              <a:round/>
            </a:ln>
            <a:effectLst/>
          </c:spPr>
          <c:marker>
            <c:symbol val="none"/>
          </c:marker>
          <c:xVal>
            <c:numRef>
              <c:f>'c'!$F$278:$F$387</c:f>
              <c:numCache>
                <c:formatCode>General</c:formatCode>
                <c:ptCount val="110"/>
                <c:pt idx="0">
                  <c:v>0.33267829875372046</c:v>
                </c:pt>
                <c:pt idx="1">
                  <c:v>0.39575656446617141</c:v>
                </c:pt>
                <c:pt idx="2">
                  <c:v>0.4381239752610987</c:v>
                </c:pt>
                <c:pt idx="3">
                  <c:v>0.47095314585805481</c:v>
                </c:pt>
                <c:pt idx="4">
                  <c:v>0.49813966592157205</c:v>
                </c:pt>
                <c:pt idx="5">
                  <c:v>0.52154559001759349</c:v>
                </c:pt>
                <c:pt idx="6">
                  <c:v>0.54221900665800793</c:v>
                </c:pt>
                <c:pt idx="7">
                  <c:v>0.56081343243821846</c:v>
                </c:pt>
                <c:pt idx="8">
                  <c:v>0.57776621465058287</c:v>
                </c:pt>
                <c:pt idx="9">
                  <c:v>0.59338565253686926</c:v>
                </c:pt>
                <c:pt idx="10">
                  <c:v>0.60281476301413028</c:v>
                </c:pt>
                <c:pt idx="11">
                  <c:v>0.71942354220977323</c:v>
                </c:pt>
                <c:pt idx="12">
                  <c:v>0.79899102696837254</c:v>
                </c:pt>
                <c:pt idx="13">
                  <c:v>0.8615932124770711</c:v>
                </c:pt>
                <c:pt idx="14">
                  <c:v>0.91421167354847854</c:v>
                </c:pt>
                <c:pt idx="15">
                  <c:v>0.96017509786639244</c:v>
                </c:pt>
                <c:pt idx="16">
                  <c:v>1.0013523954863526</c:v>
                </c:pt>
                <c:pt idx="17">
                  <c:v>1.0389059681607336</c:v>
                </c:pt>
                <c:pt idx="18">
                  <c:v>1.0736117603431587</c:v>
                </c:pt>
                <c:pt idx="19">
                  <c:v>1.1060153724490303</c:v>
                </c:pt>
                <c:pt idx="20">
                  <c:v>1.3593114846545298</c:v>
                </c:pt>
                <c:pt idx="21">
                  <c:v>1.5519544609164551</c:v>
                </c:pt>
                <c:pt idx="22">
                  <c:v>1.7177124856520969</c:v>
                </c:pt>
                <c:pt idx="23">
                  <c:v>1.8679819295741455</c:v>
                </c:pt>
                <c:pt idx="24">
                  <c:v>2.0080465492169632</c:v>
                </c:pt>
                <c:pt idx="25">
                  <c:v>2.1407975034095226</c:v>
                </c:pt>
                <c:pt idx="26">
                  <c:v>2.2679919604819596</c:v>
                </c:pt>
                <c:pt idx="27">
                  <c:v>2.3907796003245791</c:v>
                </c:pt>
                <c:pt idx="28">
                  <c:v>2.5099553283107761</c:v>
                </c:pt>
                <c:pt idx="29">
                  <c:v>2.626093014352795</c:v>
                </c:pt>
                <c:pt idx="30">
                  <c:v>2.7396216640525002</c:v>
                </c:pt>
                <c:pt idx="31">
                  <c:v>2.8508713737224554</c:v>
                </c:pt>
                <c:pt idx="32">
                  <c:v>2.9601023770646941</c:v>
                </c:pt>
                <c:pt idx="33">
                  <c:v>3.0675241265171453</c:v>
                </c:pt>
                <c:pt idx="34">
                  <c:v>3.1733082431755895</c:v>
                </c:pt>
                <c:pt idx="35">
                  <c:v>3.2775975546217837</c:v>
                </c:pt>
                <c:pt idx="36">
                  <c:v>3.3805125576606585</c:v>
                </c:pt>
                <c:pt idx="37">
                  <c:v>3.4821561394951028</c:v>
                </c:pt>
                <c:pt idx="38">
                  <c:v>3.5826170926931469</c:v>
                </c:pt>
                <c:pt idx="39">
                  <c:v>3.6819727769082746</c:v>
                </c:pt>
                <c:pt idx="40">
                  <c:v>3.7802911655237672</c:v>
                </c:pt>
                <c:pt idx="41">
                  <c:v>3.8776324413028918</c:v>
                </c:pt>
                <c:pt idx="42">
                  <c:v>3.9740502562164406</c:v>
                </c:pt>
                <c:pt idx="43">
                  <c:v>4.0695927376681276</c:v>
                </c:pt>
                <c:pt idx="44">
                  <c:v>4.1643033007270569</c:v>
                </c:pt>
                <c:pt idx="45">
                  <c:v>4.2582213101981523</c:v>
                </c:pt>
                <c:pt idx="46">
                  <c:v>4.3513826251808867</c:v>
                </c:pt>
                <c:pt idx="47">
                  <c:v>4.44382005073171</c:v>
                </c:pt>
                <c:pt idx="48">
                  <c:v>4.535563715395309</c:v>
                </c:pt>
                <c:pt idx="49">
                  <c:v>4.6266413890586833</c:v>
                </c:pt>
                <c:pt idx="50">
                  <c:v>4.7170787523691358</c:v>
                </c:pt>
                <c:pt idx="51">
                  <c:v>4.8068996265376835</c:v>
                </c:pt>
                <c:pt idx="52">
                  <c:v>4.896126170509346</c:v>
                </c:pt>
                <c:pt idx="53">
                  <c:v>4.9847790510694718</c:v>
                </c:pt>
                <c:pt idx="54">
                  <c:v>5.0728775903620189</c:v>
                </c:pt>
                <c:pt idx="55">
                  <c:v>5.1604398944423906</c:v>
                </c:pt>
                <c:pt idx="56">
                  <c:v>5.2474829658163875</c:v>
                </c:pt>
                <c:pt idx="57">
                  <c:v>5.3340228023852623</c:v>
                </c:pt>
                <c:pt idx="58">
                  <c:v>5.4200744847927922</c:v>
                </c:pt>
                <c:pt idx="59">
                  <c:v>5.5056522538299753</c:v>
                </c:pt>
                <c:pt idx="60">
                  <c:v>5.5907695792778966</c:v>
                </c:pt>
                <c:pt idx="61">
                  <c:v>5.6754392213459282</c:v>
                </c:pt>
                <c:pt idx="62">
                  <c:v>5.7596732856798836</c:v>
                </c:pt>
                <c:pt idx="63">
                  <c:v>5.8434832727647521</c:v>
                </c:pt>
                <c:pt idx="64">
                  <c:v>5.926880122422844</c:v>
                </c:pt>
                <c:pt idx="65">
                  <c:v>6.0098742540054682</c:v>
                </c:pt>
                <c:pt idx="66">
                  <c:v>6.0924756027906408</c:v>
                </c:pt>
                <c:pt idx="67">
                  <c:v>6.1746936530276342</c:v>
                </c:pt>
                <c:pt idx="68">
                  <c:v>6.2565374680089754</c:v>
                </c:pt>
                <c:pt idx="69">
                  <c:v>6.3380157174995215</c:v>
                </c:pt>
                <c:pt idx="70">
                  <c:v>6.4191367028092783</c:v>
                </c:pt>
                <c:pt idx="71">
                  <c:v>6.4999083797598081</c:v>
                </c:pt>
                <c:pt idx="72">
                  <c:v>6.5803383797628907</c:v>
                </c:pt>
                <c:pt idx="73">
                  <c:v>6.6604340292031985</c:v>
                </c:pt>
                <c:pt idx="74">
                  <c:v>6.7402023672937421</c:v>
                </c:pt>
                <c:pt idx="75">
                  <c:v>6.8196501625529438</c:v>
                </c:pt>
                <c:pt idx="76">
                  <c:v>6.8987839280350522</c:v>
                </c:pt>
                <c:pt idx="77">
                  <c:v>6.97760993543063</c:v>
                </c:pt>
                <c:pt idx="78">
                  <c:v>7.0561342281409294</c:v>
                </c:pt>
                <c:pt idx="79">
                  <c:v>7.1343626334186618</c:v>
                </c:pt>
                <c:pt idx="80">
                  <c:v>7.2123007736577289</c:v>
                </c:pt>
                <c:pt idx="81">
                  <c:v>7.2899540769058362</c:v>
                </c:pt>
                <c:pt idx="82">
                  <c:v>7.3673277866662845</c:v>
                </c:pt>
                <c:pt idx="83">
                  <c:v>7.4444269710484958</c:v>
                </c:pt>
                <c:pt idx="84">
                  <c:v>7.5212565313209341</c:v>
                </c:pt>
                <c:pt idx="85">
                  <c:v>7.5978212099147466</c:v>
                </c:pt>
                <c:pt idx="86">
                  <c:v>7.6741255979219227</c:v>
                </c:pt>
                <c:pt idx="87">
                  <c:v>7.7501741421274861</c:v>
                </c:pt>
                <c:pt idx="88">
                  <c:v>7.8259711516116504</c:v>
                </c:pt>
                <c:pt idx="89">
                  <c:v>7.9015208039545151</c:v>
                </c:pt>
                <c:pt idx="90">
                  <c:v>7.9768271510730058</c:v>
                </c:pt>
                <c:pt idx="91">
                  <c:v>8.0518941247170073</c:v>
                </c:pt>
                <c:pt idx="92">
                  <c:v>8.1267255416494315</c:v>
                </c:pt>
                <c:pt idx="93">
                  <c:v>8.2013251085326946</c:v>
                </c:pt>
                <c:pt idx="94">
                  <c:v>8.2756964265422575</c:v>
                </c:pt>
                <c:pt idx="95">
                  <c:v>8.3498429957261013</c:v>
                </c:pt>
                <c:pt idx="96">
                  <c:v>8.4237682191274885</c:v>
                </c:pt>
                <c:pt idx="97">
                  <c:v>8.4974754066869398</c:v>
                </c:pt>
                <c:pt idx="98">
                  <c:v>8.5709677789380798</c:v>
                </c:pt>
                <c:pt idx="99">
                  <c:v>8.6442484705107994</c:v>
                </c:pt>
                <c:pt idx="100">
                  <c:v>8.7173205334542683</c:v>
                </c:pt>
                <c:pt idx="101">
                  <c:v>8.8628505875138508</c:v>
                </c:pt>
                <c:pt idx="102">
                  <c:v>9.0075808218821223</c:v>
                </c:pt>
                <c:pt idx="103">
                  <c:v>9.1515329822958833</c:v>
                </c:pt>
                <c:pt idx="104">
                  <c:v>9.2947277601081097</c:v>
                </c:pt>
                <c:pt idx="105">
                  <c:v>9.437184865503065</c:v>
                </c:pt>
                <c:pt idx="106">
                  <c:v>9.5789230941196593</c:v>
                </c:pt>
                <c:pt idx="107">
                  <c:v>9.7199603878095537</c:v>
                </c:pt>
                <c:pt idx="108">
                  <c:v>9.8603138901621428</c:v>
                </c:pt>
                <c:pt idx="109">
                  <c:v>9.9999999973481977</c:v>
                </c:pt>
              </c:numCache>
            </c:numRef>
          </c:xVal>
          <c:yVal>
            <c:numRef>
              <c:f>'c'!$O$278:$O$387</c:f>
              <c:numCache>
                <c:formatCode>General</c:formatCode>
                <c:ptCount val="110"/>
                <c:pt idx="0">
                  <c:v>2.9073610141257933E-11</c:v>
                </c:pt>
                <c:pt idx="1">
                  <c:v>9.9983717886847031E-11</c:v>
                </c:pt>
                <c:pt idx="2">
                  <c:v>2.033217757597405E-10</c:v>
                </c:pt>
                <c:pt idx="3">
                  <c:v>3.3430298443063818E-10</c:v>
                </c:pt>
                <c:pt idx="4">
                  <c:v>4.8976090807541375E-10</c:v>
                </c:pt>
                <c:pt idx="5">
                  <c:v>6.673772429048529E-10</c:v>
                </c:pt>
                <c:pt idx="6">
                  <c:v>8.6535359093313757E-10</c:v>
                </c:pt>
                <c:pt idx="7">
                  <c:v>1.0822406072337602E-9</c:v>
                </c:pt>
                <c:pt idx="8">
                  <c:v>1.3168379265902545E-9</c:v>
                </c:pt>
                <c:pt idx="9">
                  <c:v>1.5681306959836511E-9</c:v>
                </c:pt>
                <c:pt idx="10">
                  <c:v>1.7377893308929704E-9</c:v>
                </c:pt>
                <c:pt idx="11">
                  <c:v>5.3585925375397774E-9</c:v>
                </c:pt>
                <c:pt idx="12">
                  <c:v>1.0203366529304235E-8</c:v>
                </c:pt>
                <c:pt idx="13">
                  <c:v>1.6027499756633662E-8</c:v>
                </c:pt>
                <c:pt idx="14">
                  <c:v>2.2698959422986751E-8</c:v>
                </c:pt>
                <c:pt idx="15">
                  <c:v>3.0136160033870688E-8</c:v>
                </c:pt>
                <c:pt idx="16">
                  <c:v>3.8284856238405022E-8</c:v>
                </c:pt>
                <c:pt idx="17">
                  <c:v>4.7107351792835149E-8</c:v>
                </c:pt>
                <c:pt idx="18">
                  <c:v>5.6576737061621564E-8</c:v>
                </c:pt>
                <c:pt idx="19">
                  <c:v>6.6673520411830209E-8</c:v>
                </c:pt>
                <c:pt idx="20">
                  <c:v>2.0042552724859689E-7</c:v>
                </c:pt>
                <c:pt idx="21">
                  <c:v>3.9391606299578848E-7</c:v>
                </c:pt>
                <c:pt idx="22">
                  <c:v>6.5158864078354869E-7</c:v>
                </c:pt>
                <c:pt idx="23">
                  <c:v>9.7998342872802647E-7</c:v>
                </c:pt>
                <c:pt idx="24">
                  <c:v>1.38654076540805E-6</c:v>
                </c:pt>
                <c:pt idx="25">
                  <c:v>1.879243367371388E-6</c:v>
                </c:pt>
                <c:pt idx="26">
                  <c:v>2.4664677611101484E-6</c:v>
                </c:pt>
                <c:pt idx="27">
                  <c:v>3.1569088096671298E-6</c:v>
                </c:pt>
                <c:pt idx="28">
                  <c:v>3.9595355356678675E-6</c:v>
                </c:pt>
                <c:pt idx="29">
                  <c:v>4.8835623718958603E-6</c:v>
                </c:pt>
                <c:pt idx="30">
                  <c:v>5.938428860690878E-6</c:v>
                </c:pt>
                <c:pt idx="31">
                  <c:v>7.1337843792600853E-6</c:v>
                </c:pt>
                <c:pt idx="32">
                  <c:v>8.4794760634200063E-6</c:v>
                </c:pt>
                <c:pt idx="33">
                  <c:v>9.9855388850765191E-6</c:v>
                </c:pt>
                <c:pt idx="34">
                  <c:v>1.1662187251397842E-5</c:v>
                </c:pt>
                <c:pt idx="35">
                  <c:v>1.3519807724383809E-5</c:v>
                </c:pt>
                <c:pt idx="36">
                  <c:v>1.5568952595149606E-5</c:v>
                </c:pt>
                <c:pt idx="37">
                  <c:v>1.7820334130411804E-5</c:v>
                </c:pt>
                <c:pt idx="38">
                  <c:v>2.0284819361601819E-5</c:v>
                </c:pt>
                <c:pt idx="39">
                  <c:v>2.2973425321871074E-5</c:v>
                </c:pt>
                <c:pt idx="40">
                  <c:v>2.5897314659850167E-5</c:v>
                </c:pt>
                <c:pt idx="41">
                  <c:v>2.9067791575470615E-5</c:v>
                </c:pt>
                <c:pt idx="42">
                  <c:v>3.2496298034874654E-5</c:v>
                </c:pt>
                <c:pt idx="43">
                  <c:v>3.619441023000246E-5</c:v>
                </c:pt>
                <c:pt idx="44">
                  <c:v>4.0173835254825994E-5</c:v>
                </c:pt>
                <c:pt idx="45">
                  <c:v>4.4446407975040809E-5</c:v>
                </c:pt>
                <c:pt idx="46">
                  <c:v>4.9024088071768171E-5</c:v>
                </c:pt>
                <c:pt idx="47">
                  <c:v>5.3918957242774299E-5</c:v>
                </c:pt>
                <c:pt idx="48">
                  <c:v>5.9143216547049795E-5</c:v>
                </c:pt>
                <c:pt idx="49">
                  <c:v>6.470918388050401E-5</c:v>
                </c:pt>
                <c:pt idx="50">
                  <c:v>7.0629291572058372E-5</c:v>
                </c:pt>
                <c:pt idx="51">
                  <c:v>7.6916084090751716E-5</c:v>
                </c:pt>
                <c:pt idx="52">
                  <c:v>8.3582215855500575E-5</c:v>
                </c:pt>
                <c:pt idx="53">
                  <c:v>9.064044914011197E-5</c:v>
                </c:pt>
                <c:pt idx="54">
                  <c:v>9.8103652066880464E-5</c:v>
                </c:pt>
                <c:pt idx="55">
                  <c:v>1.0598479668281787E-4</c:v>
                </c:pt>
                <c:pt idx="56">
                  <c:v>1.142969571130729E-4</c:v>
                </c:pt>
                <c:pt idx="57">
                  <c:v>1.2305330778668194E-4</c:v>
                </c:pt>
                <c:pt idx="58">
                  <c:v>1.3226712173015508E-4</c:v>
                </c:pt>
                <c:pt idx="59">
                  <c:v>1.4195176892484136E-4</c:v>
                </c:pt>
                <c:pt idx="60">
                  <c:v>1.5212071472433061E-4</c:v>
                </c:pt>
                <c:pt idx="61">
                  <c:v>1.6278751832848101E-4</c:v>
                </c:pt>
                <c:pt idx="62">
                  <c:v>1.7396583131088278E-4</c:v>
                </c:pt>
                <c:pt idx="63">
                  <c:v>1.8566939619689686E-4</c:v>
                </c:pt>
                <c:pt idx="64">
                  <c:v>1.9791204508952403E-4</c:v>
                </c:pt>
                <c:pt idx="65">
                  <c:v>2.1070769834064906E-4</c:v>
                </c:pt>
                <c:pt idx="66">
                  <c:v>2.2407036326530118E-4</c:v>
                </c:pt>
                <c:pt idx="67">
                  <c:v>2.3801413289684581E-4</c:v>
                </c:pt>
                <c:pt idx="68">
                  <c:v>2.5255318478100244E-4</c:v>
                </c:pt>
                <c:pt idx="69">
                  <c:v>2.6770177980691123E-4</c:v>
                </c:pt>
                <c:pt idx="70">
                  <c:v>2.8347426107344469E-4</c:v>
                </c:pt>
                <c:pt idx="71">
                  <c:v>2.9988505278912632E-4</c:v>
                </c:pt>
                <c:pt idx="72">
                  <c:v>3.1694865920417031E-4</c:v>
                </c:pt>
                <c:pt idx="73">
                  <c:v>3.3467966357311686E-4</c:v>
                </c:pt>
                <c:pt idx="74">
                  <c:v>3.530927271468339E-4</c:v>
                </c:pt>
                <c:pt idx="75">
                  <c:v>3.7220258819248503E-4</c:v>
                </c:pt>
                <c:pt idx="76">
                  <c:v>3.9202406104034865E-4</c:v>
                </c:pt>
                <c:pt idx="77">
                  <c:v>4.125720351563546E-4</c:v>
                </c:pt>
                <c:pt idx="78">
                  <c:v>4.3386147423924668E-4</c:v>
                </c:pt>
                <c:pt idx="79">
                  <c:v>4.5590741534139449E-4</c:v>
                </c:pt>
                <c:pt idx="80">
                  <c:v>4.7872496801226115E-4</c:v>
                </c:pt>
                <c:pt idx="81">
                  <c:v>5.0232931346371184E-4</c:v>
                </c:pt>
                <c:pt idx="82">
                  <c:v>5.2673570375623001E-4</c:v>
                </c:pt>
                <c:pt idx="83">
                  <c:v>5.5195946100526736E-4</c:v>
                </c:pt>
                <c:pt idx="84">
                  <c:v>5.7801597660701149E-4</c:v>
                </c:pt>
                <c:pt idx="85">
                  <c:v>6.0492071048273406E-4</c:v>
                </c:pt>
                <c:pt idx="86">
                  <c:v>6.3268919034117519E-4</c:v>
                </c:pt>
                <c:pt idx="87">
                  <c:v>6.6133701095817687E-4</c:v>
                </c:pt>
                <c:pt idx="88">
                  <c:v>6.9087983347302924E-4</c:v>
                </c:pt>
                <c:pt idx="89">
                  <c:v>7.2133338470092899E-4</c:v>
                </c:pt>
                <c:pt idx="90">
                  <c:v>7.5271345646094707E-4</c:v>
                </c:pt>
                <c:pt idx="91">
                  <c:v>7.850359049189783E-4</c:v>
                </c:pt>
                <c:pt idx="92">
                  <c:v>8.1831664994521237E-4</c:v>
                </c:pt>
                <c:pt idx="93">
                  <c:v>8.5257167448557242E-4</c:v>
                </c:pt>
                <c:pt idx="94">
                  <c:v>8.8781702394666198E-4</c:v>
                </c:pt>
                <c:pt idx="95">
                  <c:v>9.2406880559391244E-4</c:v>
                </c:pt>
                <c:pt idx="96">
                  <c:v>9.6134318796216669E-4</c:v>
                </c:pt>
                <c:pt idx="97">
                  <c:v>9.9965640027873293E-4</c:v>
                </c:pt>
                <c:pt idx="98">
                  <c:v>1.0390247318982147E-3</c:v>
                </c:pt>
                <c:pt idx="99">
                  <c:v>1.0794645317487319E-3</c:v>
                </c:pt>
                <c:pt idx="100">
                  <c:v>1.1209922077895223E-3</c:v>
                </c:pt>
                <c:pt idx="101">
                  <c:v>1.2073771122535675E-3</c:v>
                </c:pt>
                <c:pt idx="102">
                  <c:v>1.2983118696360189E-3</c:v>
                </c:pt>
                <c:pt idx="103">
                  <c:v>1.3939298158063978E-3</c:v>
                </c:pt>
                <c:pt idx="104">
                  <c:v>1.4943651825654449E-3</c:v>
                </c:pt>
                <c:pt idx="105">
                  <c:v>1.5997530826295243E-3</c:v>
                </c:pt>
                <c:pt idx="106">
                  <c:v>1.7102294951596671E-3</c:v>
                </c:pt>
                <c:pt idx="107">
                  <c:v>1.8259312518052004E-3</c:v>
                </c:pt>
                <c:pt idx="108">
                  <c:v>1.9469960232342924E-3</c:v>
                </c:pt>
                <c:pt idx="109">
                  <c:v>2.0735623061258136E-3</c:v>
                </c:pt>
              </c:numCache>
            </c:numRef>
          </c:yVal>
          <c:smooth val="0"/>
          <c:extLst>
            <c:ext xmlns:c16="http://schemas.microsoft.com/office/drawing/2014/chart" uri="{C3380CC4-5D6E-409C-BE32-E72D297353CC}">
              <c16:uniqueId val="{00000001-F2C8-4991-BFBF-2BB73EAE5203}"/>
            </c:ext>
          </c:extLst>
        </c:ser>
        <c:dLbls>
          <c:showLegendKey val="0"/>
          <c:showVal val="0"/>
          <c:showCatName val="0"/>
          <c:showSerName val="0"/>
          <c:showPercent val="0"/>
          <c:showBubbleSize val="0"/>
        </c:dLbls>
        <c:axId val="624399680"/>
        <c:axId val="624400008"/>
        <c:extLst/>
      </c:scatterChart>
      <c:valAx>
        <c:axId val="624399680"/>
        <c:scaling>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Current Velocity</a:t>
                </a:r>
                <a:r>
                  <a:rPr lang="en-US" sz="1800" baseline="0">
                    <a:effectLst/>
                  </a:rPr>
                  <a:t> (m/s)</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At val="1.0000000000000007E-13"/>
        <c:crossBetween val="midCat"/>
      </c:valAx>
      <c:valAx>
        <c:axId val="624400008"/>
        <c:scaling>
          <c:logBase val="10"/>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a:effectLst/>
                  </a:rPr>
                  <a:t>Fatigue Damage Rate (1/s)</a:t>
                </a:r>
              </a:p>
            </c:rich>
          </c:tx>
          <c:layout>
            <c:manualLayout>
              <c:xMode val="edge"/>
              <c:yMode val="edge"/>
              <c:x val="1.5012948089335246E-2"/>
              <c:y val="0.3132477884708855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layout>
        <c:manualLayout>
          <c:xMode val="edge"/>
          <c:yMode val="edge"/>
          <c:x val="0.77911502561743862"/>
          <c:y val="3.8523752906955006E-2"/>
          <c:w val="0.21491970431909702"/>
          <c:h val="0.73448280503398611"/>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85193607894172"/>
          <c:y val="2.4349477682811017E-2"/>
          <c:w val="0.65191381962062744"/>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m!$AF$136:$AO$136</c:f>
              <c:numCache>
                <c:formatCode>General</c:formatCode>
                <c:ptCount val="10"/>
                <c:pt idx="6">
                  <c:v>1.6143948063818636</c:v>
                </c:pt>
                <c:pt idx="7">
                  <c:v>1.9401411172244991</c:v>
                </c:pt>
                <c:pt idx="8">
                  <c:v>2.3020971953720357</c:v>
                </c:pt>
                <c:pt idx="9">
                  <c:v>2.7961447987028745</c:v>
                </c:pt>
              </c:numCache>
            </c:numRef>
          </c:xVal>
          <c:yVal>
            <c:numRef>
              <c:f>m!$AF$144:$AO$144</c:f>
              <c:numCache>
                <c:formatCode>General</c:formatCode>
                <c:ptCount val="10"/>
                <c:pt idx="6">
                  <c:v>3.3312430589616485E-6</c:v>
                </c:pt>
                <c:pt idx="7">
                  <c:v>7.3378853424849925E-6</c:v>
                </c:pt>
                <c:pt idx="8">
                  <c:v>7.8223319203516646E-6</c:v>
                </c:pt>
                <c:pt idx="9">
                  <c:v>6.8921883590877108E-6</c:v>
                </c:pt>
              </c:numCache>
            </c:numRef>
          </c:yVal>
          <c:smooth val="0"/>
          <c:extLst xmlns:c15="http://schemas.microsoft.com/office/drawing/2012/chart">
            <c:ext xmlns:c16="http://schemas.microsoft.com/office/drawing/2014/chart" uri="{C3380CC4-5D6E-409C-BE32-E72D297353CC}">
              <c16:uniqueId val="{00000000-8561-40A2-B1C8-E3BCD062F203}"/>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m!$AP$136:$BL$136</c:f>
              <c:numCache>
                <c:formatCode>General</c:formatCode>
                <c:ptCount val="23"/>
                <c:pt idx="0">
                  <c:v>0.87758664404220332</c:v>
                </c:pt>
                <c:pt idx="1">
                  <c:v>1.3074036031223182</c:v>
                </c:pt>
                <c:pt idx="2">
                  <c:v>2.5715201139747297</c:v>
                </c:pt>
                <c:pt idx="3">
                  <c:v>3.954965066154386</c:v>
                </c:pt>
                <c:pt idx="4">
                  <c:v>5.5317355430904875</c:v>
                </c:pt>
                <c:pt idx="19">
                  <c:v>0.85445300673745028</c:v>
                </c:pt>
                <c:pt idx="20">
                  <c:v>1.762675703425572</c:v>
                </c:pt>
                <c:pt idx="21">
                  <c:v>1.3296823406377316</c:v>
                </c:pt>
              </c:numCache>
            </c:numRef>
          </c:xVal>
          <c:yVal>
            <c:numRef>
              <c:f>m!$AP$144:$BL$144</c:f>
              <c:numCache>
                <c:formatCode>General</c:formatCode>
                <c:ptCount val="23"/>
                <c:pt idx="0">
                  <c:v>1.0263611254753252E-8</c:v>
                </c:pt>
                <c:pt idx="1">
                  <c:v>5.4112472106500152E-8</c:v>
                </c:pt>
                <c:pt idx="2">
                  <c:v>3.3451213963983326E-6</c:v>
                </c:pt>
                <c:pt idx="3">
                  <c:v>4.3594060864600906E-5</c:v>
                </c:pt>
                <c:pt idx="4">
                  <c:v>3.1777763177394993E-4</c:v>
                </c:pt>
                <c:pt idx="19">
                  <c:v>2.8557320014565028E-8</c:v>
                </c:pt>
                <c:pt idx="20">
                  <c:v>1.0745204086109024E-6</c:v>
                </c:pt>
                <c:pt idx="21">
                  <c:v>8.0998261714627658E-8</c:v>
                </c:pt>
              </c:numCache>
            </c:numRef>
          </c:yVal>
          <c:smooth val="0"/>
          <c:extLst xmlns:c15="http://schemas.microsoft.com/office/drawing/2012/chart">
            <c:ext xmlns:c16="http://schemas.microsoft.com/office/drawing/2014/chart" uri="{C3380CC4-5D6E-409C-BE32-E72D297353CC}">
              <c16:uniqueId val="{00000001-8561-40A2-B1C8-E3BCD062F203}"/>
            </c:ext>
          </c:extLst>
        </c:ser>
        <c:ser>
          <c:idx val="11"/>
          <c:order val="2"/>
          <c:tx>
            <c:v>CF, Pipe 1</c:v>
          </c:tx>
          <c:spPr>
            <a:ln w="25400" cap="rnd">
              <a:noFill/>
              <a:round/>
            </a:ln>
            <a:effectLst/>
          </c:spPr>
          <c:marker>
            <c:symbol val="x"/>
            <c:size val="7"/>
            <c:spPr>
              <a:noFill/>
              <a:ln w="15875">
                <a:solidFill>
                  <a:schemeClr val="accent6"/>
                </a:solidFill>
              </a:ln>
              <a:effectLst/>
            </c:spPr>
          </c:marker>
          <c:xVal>
            <c:numRef>
              <c:f>m!$BM$136:$CO$136</c:f>
              <c:numCache>
                <c:formatCode>General</c:formatCode>
                <c:ptCount val="29"/>
              </c:numCache>
            </c:numRef>
          </c:xVal>
          <c:yVal>
            <c:numRef>
              <c:f>m!$BM$144:$CO$144</c:f>
              <c:numCache>
                <c:formatCode>General</c:formatCode>
                <c:ptCount val="29"/>
              </c:numCache>
            </c:numRef>
          </c:yVal>
          <c:smooth val="0"/>
          <c:extLst xmlns:c15="http://schemas.microsoft.com/office/drawing/2012/chart">
            <c:ext xmlns:c16="http://schemas.microsoft.com/office/drawing/2014/chart" uri="{C3380CC4-5D6E-409C-BE32-E72D297353CC}">
              <c16:uniqueId val="{00000002-8561-40A2-B1C8-E3BCD062F203}"/>
            </c:ext>
          </c:extLst>
        </c:ser>
        <c:ser>
          <c:idx val="13"/>
          <c:order val="3"/>
          <c:tx>
            <c:v>CF, Pipe 2</c:v>
          </c:tx>
          <c:spPr>
            <a:ln w="25400" cap="rnd">
              <a:noFill/>
              <a:round/>
            </a:ln>
            <a:effectLst/>
          </c:spPr>
          <c:marker>
            <c:symbol val="x"/>
            <c:size val="7"/>
            <c:spPr>
              <a:noFill/>
              <a:ln w="15875">
                <a:solidFill>
                  <a:srgbClr val="00B0F0"/>
                </a:solidFill>
              </a:ln>
              <a:effectLst/>
            </c:spPr>
          </c:marker>
          <c:xVal>
            <c:numRef>
              <c:f>m!$CP$136:$DT$136</c:f>
              <c:numCache>
                <c:formatCode>General</c:formatCode>
                <c:ptCount val="31"/>
                <c:pt idx="23">
                  <c:v>5.4616805280644583</c:v>
                </c:pt>
                <c:pt idx="24">
                  <c:v>9.3881308400269585</c:v>
                </c:pt>
                <c:pt idx="25">
                  <c:v>6.6301156322246957</c:v>
                </c:pt>
                <c:pt idx="27">
                  <c:v>8.9302718911312038</c:v>
                </c:pt>
              </c:numCache>
            </c:numRef>
          </c:xVal>
          <c:yVal>
            <c:numRef>
              <c:f>m!$CP$144:$DT$144</c:f>
              <c:numCache>
                <c:formatCode>General</c:formatCode>
                <c:ptCount val="31"/>
                <c:pt idx="23">
                  <c:v>1.8387319102188966E-4</c:v>
                </c:pt>
                <c:pt idx="24">
                  <c:v>3.270827675143897E-3</c:v>
                </c:pt>
                <c:pt idx="25">
                  <c:v>1.3182300064528095E-3</c:v>
                </c:pt>
                <c:pt idx="27">
                  <c:v>1.4887269718444939E-3</c:v>
                </c:pt>
              </c:numCache>
            </c:numRef>
          </c:yVal>
          <c:smooth val="0"/>
          <c:extLst xmlns:c15="http://schemas.microsoft.com/office/drawing/2012/chart">
            <c:ext xmlns:c16="http://schemas.microsoft.com/office/drawing/2014/chart" uri="{C3380CC4-5D6E-409C-BE32-E72D297353CC}">
              <c16:uniqueId val="{00000003-8561-40A2-B1C8-E3BCD062F203}"/>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m!$DU$136:$DX$136</c:f>
              <c:numCache>
                <c:formatCode>General</c:formatCode>
                <c:ptCount val="4"/>
                <c:pt idx="1">
                  <c:v>3.7649826229949488</c:v>
                </c:pt>
              </c:numCache>
            </c:numRef>
          </c:xVal>
          <c:yVal>
            <c:numRef>
              <c:f>m!$DU$144:$DX$144</c:f>
              <c:numCache>
                <c:formatCode>General</c:formatCode>
                <c:ptCount val="4"/>
                <c:pt idx="1">
                  <c:v>1.6569673554887655E-3</c:v>
                </c:pt>
              </c:numCache>
            </c:numRef>
          </c:yVal>
          <c:smooth val="0"/>
          <c:extLst xmlns:c15="http://schemas.microsoft.com/office/drawing/2012/chart">
            <c:ext xmlns:c16="http://schemas.microsoft.com/office/drawing/2014/chart" uri="{C3380CC4-5D6E-409C-BE32-E72D297353CC}">
              <c16:uniqueId val="{00000004-8561-40A2-B1C8-E3BCD062F203}"/>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m!$DY$136:$EL$136</c:f>
              <c:numCache>
                <c:formatCode>General</c:formatCode>
                <c:ptCount val="14"/>
                <c:pt idx="0">
                  <c:v>0.95944318952665708</c:v>
                </c:pt>
                <c:pt idx="1">
                  <c:v>4.0478778131308895</c:v>
                </c:pt>
                <c:pt idx="2">
                  <c:v>7.094716690461337</c:v>
                </c:pt>
                <c:pt idx="3">
                  <c:v>9.8213071433888182</c:v>
                </c:pt>
              </c:numCache>
            </c:numRef>
          </c:xVal>
          <c:yVal>
            <c:numRef>
              <c:f>m!$DY$144:$EL$144</c:f>
              <c:numCache>
                <c:formatCode>General</c:formatCode>
                <c:ptCount val="14"/>
                <c:pt idx="0">
                  <c:v>3.3957590883779812E-6</c:v>
                </c:pt>
                <c:pt idx="1">
                  <c:v>1.1197104351254271E-3</c:v>
                </c:pt>
                <c:pt idx="2">
                  <c:v>8.646384171384195E-3</c:v>
                </c:pt>
                <c:pt idx="3">
                  <c:v>5.0198044903397777E-2</c:v>
                </c:pt>
              </c:numCache>
            </c:numRef>
          </c:yVal>
          <c:smooth val="0"/>
          <c:extLst xmlns:c15="http://schemas.microsoft.com/office/drawing/2012/chart">
            <c:ext xmlns:c16="http://schemas.microsoft.com/office/drawing/2014/chart" uri="{C3380CC4-5D6E-409C-BE32-E72D297353CC}">
              <c16:uniqueId val="{00000005-8561-40A2-B1C8-E3BCD062F203}"/>
            </c:ext>
          </c:extLst>
        </c:ser>
        <c:ser>
          <c:idx val="6"/>
          <c:order val="6"/>
          <c:tx>
            <c:v>IL, Ormen Lange</c:v>
          </c:tx>
          <c:spPr>
            <a:ln w="25400" cap="rnd">
              <a:noFill/>
              <a:round/>
            </a:ln>
            <a:effectLst/>
          </c:spPr>
          <c:marker>
            <c:symbol val="circle"/>
            <c:size val="7"/>
            <c:spPr>
              <a:noFill/>
              <a:ln w="15875">
                <a:solidFill>
                  <a:schemeClr val="tx1"/>
                </a:solidFill>
              </a:ln>
              <a:effectLst/>
            </c:spPr>
          </c:marker>
          <c:xVal>
            <c:numRef>
              <c:f>m!$AF$136:$AO$136</c:f>
              <c:numCache>
                <c:formatCode>General</c:formatCode>
                <c:ptCount val="10"/>
                <c:pt idx="6">
                  <c:v>1.6143948063818636</c:v>
                </c:pt>
                <c:pt idx="7">
                  <c:v>1.9401411172244991</c:v>
                </c:pt>
                <c:pt idx="8">
                  <c:v>2.3020971953720357</c:v>
                </c:pt>
                <c:pt idx="9">
                  <c:v>2.7961447987028745</c:v>
                </c:pt>
              </c:numCache>
            </c:numRef>
          </c:xVal>
          <c:yVal>
            <c:numRef>
              <c:f>m!$AF$145:$AO$145</c:f>
              <c:numCache>
                <c:formatCode>General</c:formatCode>
                <c:ptCount val="10"/>
                <c:pt idx="6">
                  <c:v>1.2542029851515517E-6</c:v>
                </c:pt>
                <c:pt idx="7">
                  <c:v>1.916333337452869E-6</c:v>
                </c:pt>
                <c:pt idx="8">
                  <c:v>1.5689348081764975E-6</c:v>
                </c:pt>
                <c:pt idx="9">
                  <c:v>3.6004404056860452E-6</c:v>
                </c:pt>
              </c:numCache>
            </c:numRef>
          </c:yVal>
          <c:smooth val="0"/>
          <c:extLst>
            <c:ext xmlns:c16="http://schemas.microsoft.com/office/drawing/2014/chart" uri="{C3380CC4-5D6E-409C-BE32-E72D297353CC}">
              <c16:uniqueId val="{00000006-8561-40A2-B1C8-E3BCD062F203}"/>
            </c:ext>
          </c:extLst>
        </c:ser>
        <c:ser>
          <c:idx val="7"/>
          <c:order val="7"/>
          <c:tx>
            <c:v>IL, ExxonMobil</c:v>
          </c:tx>
          <c:spPr>
            <a:ln w="25400" cap="rnd">
              <a:noFill/>
              <a:round/>
            </a:ln>
            <a:effectLst/>
          </c:spPr>
          <c:marker>
            <c:symbol val="circle"/>
            <c:size val="7"/>
            <c:spPr>
              <a:noFill/>
              <a:ln w="15875">
                <a:solidFill>
                  <a:schemeClr val="accent3"/>
                </a:solidFill>
              </a:ln>
              <a:effectLst/>
            </c:spPr>
          </c:marker>
          <c:xVal>
            <c:numRef>
              <c:f>m!$AP$136:$BL$136</c:f>
              <c:numCache>
                <c:formatCode>General</c:formatCode>
                <c:ptCount val="23"/>
                <c:pt idx="0">
                  <c:v>0.87758664404220332</c:v>
                </c:pt>
                <c:pt idx="1">
                  <c:v>1.3074036031223182</c:v>
                </c:pt>
                <c:pt idx="2">
                  <c:v>2.5715201139747297</c:v>
                </c:pt>
                <c:pt idx="3">
                  <c:v>3.954965066154386</c:v>
                </c:pt>
                <c:pt idx="4">
                  <c:v>5.5317355430904875</c:v>
                </c:pt>
                <c:pt idx="19">
                  <c:v>0.85445300673745028</c:v>
                </c:pt>
                <c:pt idx="20">
                  <c:v>1.762675703425572</c:v>
                </c:pt>
                <c:pt idx="21">
                  <c:v>1.3296823406377316</c:v>
                </c:pt>
              </c:numCache>
            </c:numRef>
          </c:xVal>
          <c:yVal>
            <c:numRef>
              <c:f>m!$AP$145:$BL$145</c:f>
              <c:numCache>
                <c:formatCode>General</c:formatCode>
                <c:ptCount val="23"/>
                <c:pt idx="0">
                  <c:v>1.3857504480181566E-8</c:v>
                </c:pt>
                <c:pt idx="1">
                  <c:v>2.0636852232613156E-7</c:v>
                </c:pt>
                <c:pt idx="2">
                  <c:v>8.6872154464934176E-7</c:v>
                </c:pt>
                <c:pt idx="3">
                  <c:v>8.1068211715272813E-6</c:v>
                </c:pt>
                <c:pt idx="4">
                  <c:v>3.5503759865297937E-5</c:v>
                </c:pt>
                <c:pt idx="19">
                  <c:v>5.1075499222930498E-8</c:v>
                </c:pt>
                <c:pt idx="20">
                  <c:v>4.4453517408270377E-7</c:v>
                </c:pt>
                <c:pt idx="21">
                  <c:v>2.4111574927632757E-7</c:v>
                </c:pt>
              </c:numCache>
            </c:numRef>
          </c:yVal>
          <c:smooth val="0"/>
          <c:extLst>
            <c:ext xmlns:c16="http://schemas.microsoft.com/office/drawing/2014/chart" uri="{C3380CC4-5D6E-409C-BE32-E72D297353CC}">
              <c16:uniqueId val="{00000007-8561-40A2-B1C8-E3BCD062F203}"/>
            </c:ext>
          </c:extLst>
        </c:ser>
        <c:ser>
          <c:idx val="12"/>
          <c:order val="8"/>
          <c:tx>
            <c:v>IL, Pipe 1</c:v>
          </c:tx>
          <c:spPr>
            <a:ln w="25400" cap="rnd">
              <a:noFill/>
              <a:round/>
            </a:ln>
            <a:effectLst/>
          </c:spPr>
          <c:marker>
            <c:symbol val="circle"/>
            <c:size val="8"/>
            <c:spPr>
              <a:noFill/>
              <a:ln w="15875">
                <a:solidFill>
                  <a:schemeClr val="accent6"/>
                </a:solidFill>
              </a:ln>
              <a:effectLst/>
            </c:spPr>
          </c:marker>
          <c:xVal>
            <c:numRef>
              <c:f>m!$BM$136:$CO$136</c:f>
              <c:numCache>
                <c:formatCode>General</c:formatCode>
                <c:ptCount val="29"/>
              </c:numCache>
            </c:numRef>
          </c:xVal>
          <c:yVal>
            <c:numRef>
              <c:f>m!$BM$145:$CO$145</c:f>
              <c:numCache>
                <c:formatCode>General</c:formatCode>
                <c:ptCount val="29"/>
              </c:numCache>
            </c:numRef>
          </c:yVal>
          <c:smooth val="0"/>
          <c:extLst>
            <c:ext xmlns:c16="http://schemas.microsoft.com/office/drawing/2014/chart" uri="{C3380CC4-5D6E-409C-BE32-E72D297353CC}">
              <c16:uniqueId val="{00000008-8561-40A2-B1C8-E3BCD062F203}"/>
            </c:ext>
          </c:extLst>
        </c:ser>
        <c:ser>
          <c:idx val="14"/>
          <c:order val="9"/>
          <c:tx>
            <c:v>IL, Pipe 2</c:v>
          </c:tx>
          <c:spPr>
            <a:ln w="25400" cap="rnd">
              <a:noFill/>
              <a:round/>
            </a:ln>
            <a:effectLst/>
          </c:spPr>
          <c:marker>
            <c:symbol val="circle"/>
            <c:size val="7"/>
            <c:spPr>
              <a:noFill/>
              <a:ln w="15875">
                <a:solidFill>
                  <a:srgbClr val="00B0F0"/>
                </a:solidFill>
              </a:ln>
              <a:effectLst/>
            </c:spPr>
          </c:marker>
          <c:xVal>
            <c:numRef>
              <c:f>m!$CP$136:$DT$136</c:f>
              <c:numCache>
                <c:formatCode>General</c:formatCode>
                <c:ptCount val="31"/>
                <c:pt idx="23">
                  <c:v>5.4616805280644583</c:v>
                </c:pt>
                <c:pt idx="24">
                  <c:v>9.3881308400269585</c:v>
                </c:pt>
                <c:pt idx="25">
                  <c:v>6.6301156322246957</c:v>
                </c:pt>
                <c:pt idx="27">
                  <c:v>8.9302718911312038</c:v>
                </c:pt>
              </c:numCache>
            </c:numRef>
          </c:xVal>
          <c:yVal>
            <c:numRef>
              <c:f>m!$CP$145:$DT$145</c:f>
              <c:numCache>
                <c:formatCode>General</c:formatCode>
                <c:ptCount val="31"/>
                <c:pt idx="23">
                  <c:v>1.906671871666099E-4</c:v>
                </c:pt>
                <c:pt idx="24">
                  <c:v>2.4591168879224863E-3</c:v>
                </c:pt>
                <c:pt idx="25">
                  <c:v>3.4759479193778375E-4</c:v>
                </c:pt>
                <c:pt idx="27">
                  <c:v>7.5895184282628208E-4</c:v>
                </c:pt>
              </c:numCache>
            </c:numRef>
          </c:yVal>
          <c:smooth val="0"/>
          <c:extLst>
            <c:ext xmlns:c16="http://schemas.microsoft.com/office/drawing/2014/chart" uri="{C3380CC4-5D6E-409C-BE32-E72D297353CC}">
              <c16:uniqueId val="{00000009-8561-40A2-B1C8-E3BCD062F203}"/>
            </c:ext>
          </c:extLst>
        </c:ser>
        <c:ser>
          <c:idx val="8"/>
          <c:order val="10"/>
          <c:tx>
            <c:v>IL, Pipe 3 Smooth</c:v>
          </c:tx>
          <c:spPr>
            <a:ln w="25400" cap="rnd">
              <a:noFill/>
              <a:round/>
            </a:ln>
            <a:effectLst/>
          </c:spPr>
          <c:marker>
            <c:symbol val="circle"/>
            <c:size val="7"/>
            <c:spPr>
              <a:noFill/>
              <a:ln w="15875">
                <a:solidFill>
                  <a:schemeClr val="accent2"/>
                </a:solidFill>
              </a:ln>
              <a:effectLst/>
            </c:spPr>
          </c:marker>
          <c:xVal>
            <c:numRef>
              <c:f>m!$DU$136:$DX$136</c:f>
              <c:numCache>
                <c:formatCode>General</c:formatCode>
                <c:ptCount val="4"/>
                <c:pt idx="1">
                  <c:v>3.7649826229949488</c:v>
                </c:pt>
              </c:numCache>
            </c:numRef>
          </c:xVal>
          <c:yVal>
            <c:numRef>
              <c:f>m!$DU$145:$DX$145</c:f>
              <c:numCache>
                <c:formatCode>General</c:formatCode>
                <c:ptCount val="4"/>
                <c:pt idx="1">
                  <c:v>5.3255910832457776E-4</c:v>
                </c:pt>
              </c:numCache>
            </c:numRef>
          </c:yVal>
          <c:smooth val="0"/>
          <c:extLst>
            <c:ext xmlns:c16="http://schemas.microsoft.com/office/drawing/2014/chart" uri="{C3380CC4-5D6E-409C-BE32-E72D297353CC}">
              <c16:uniqueId val="{0000000A-8561-40A2-B1C8-E3BCD062F203}"/>
            </c:ext>
          </c:extLst>
        </c:ser>
        <c:ser>
          <c:idx val="10"/>
          <c:order val="11"/>
          <c:tx>
            <c:v>IL, Pipe 3 Rough</c:v>
          </c:tx>
          <c:spPr>
            <a:ln w="25400" cap="rnd">
              <a:noFill/>
              <a:round/>
            </a:ln>
            <a:effectLst/>
          </c:spPr>
          <c:marker>
            <c:symbol val="circle"/>
            <c:size val="5"/>
            <c:spPr>
              <a:noFill/>
              <a:ln w="19050">
                <a:solidFill>
                  <a:schemeClr val="accent4"/>
                </a:solidFill>
              </a:ln>
              <a:effectLst/>
            </c:spPr>
          </c:marker>
          <c:xVal>
            <c:numRef>
              <c:f>m!$DY$136:$EL$136</c:f>
              <c:numCache>
                <c:formatCode>General</c:formatCode>
                <c:ptCount val="14"/>
                <c:pt idx="0">
                  <c:v>0.95944318952665708</c:v>
                </c:pt>
                <c:pt idx="1">
                  <c:v>4.0478778131308895</c:v>
                </c:pt>
                <c:pt idx="2">
                  <c:v>7.094716690461337</c:v>
                </c:pt>
                <c:pt idx="3">
                  <c:v>9.8213071433888182</c:v>
                </c:pt>
              </c:numCache>
            </c:numRef>
          </c:xVal>
          <c:yVal>
            <c:numRef>
              <c:f>m!$DY$145:$EL$145</c:f>
              <c:numCache>
                <c:formatCode>General</c:formatCode>
                <c:ptCount val="14"/>
                <c:pt idx="0">
                  <c:v>8.1056258945619145E-7</c:v>
                </c:pt>
                <c:pt idx="1">
                  <c:v>6.0351498342746932E-4</c:v>
                </c:pt>
                <c:pt idx="2">
                  <c:v>5.1639657195250328E-3</c:v>
                </c:pt>
                <c:pt idx="3">
                  <c:v>3.9461668995730122E-2</c:v>
                </c:pt>
              </c:numCache>
            </c:numRef>
          </c:yVal>
          <c:smooth val="0"/>
          <c:extLst>
            <c:ext xmlns:c16="http://schemas.microsoft.com/office/drawing/2014/chart" uri="{C3380CC4-5D6E-409C-BE32-E72D297353CC}">
              <c16:uniqueId val="{0000000B-8561-40A2-B1C8-E3BCD062F203}"/>
            </c:ext>
          </c:extLst>
        </c:ser>
        <c:ser>
          <c:idx val="1"/>
          <c:order val="12"/>
          <c:tx>
            <c:v>F105 CF</c:v>
          </c:tx>
          <c:spPr>
            <a:ln w="19050" cap="rnd">
              <a:solidFill>
                <a:schemeClr val="bg1">
                  <a:lumMod val="65000"/>
                </a:schemeClr>
              </a:solidFill>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'c'!$J$277:$J$387</c:f>
              <c:numCache>
                <c:formatCode>General</c:formatCode>
                <c:ptCount val="111"/>
                <c:pt idx="1">
                  <c:v>1.1934142024121279E-10</c:v>
                </c:pt>
                <c:pt idx="2">
                  <c:v>5.8601647120351191E-10</c:v>
                </c:pt>
                <c:pt idx="3">
                  <c:v>1.3192456613036392E-9</c:v>
                </c:pt>
                <c:pt idx="4">
                  <c:v>2.271259252542075E-9</c:v>
                </c:pt>
                <c:pt idx="5">
                  <c:v>3.4183821335086984E-9</c:v>
                </c:pt>
                <c:pt idx="6">
                  <c:v>4.7486827086819816E-9</c:v>
                </c:pt>
                <c:pt idx="7">
                  <c:v>6.257152762444087E-9</c:v>
                </c:pt>
                <c:pt idx="8">
                  <c:v>7.9435562419740368E-9</c:v>
                </c:pt>
                <c:pt idx="9">
                  <c:v>9.8114222247120654E-9</c:v>
                </c:pt>
                <c:pt idx="10">
                  <c:v>1.1374507408180703E-8</c:v>
                </c:pt>
                <c:pt idx="11">
                  <c:v>1.1673474465614144E-8</c:v>
                </c:pt>
                <c:pt idx="12">
                  <c:v>2.0264645424790136E-8</c:v>
                </c:pt>
                <c:pt idx="13">
                  <c:v>2.4739861677586068E-8</c:v>
                </c:pt>
                <c:pt idx="14">
                  <c:v>2.8987397332260139E-8</c:v>
                </c:pt>
                <c:pt idx="15">
                  <c:v>3.5298224045996233E-8</c:v>
                </c:pt>
                <c:pt idx="16">
                  <c:v>4.8911174865287834E-8</c:v>
                </c:pt>
                <c:pt idx="17">
                  <c:v>6.1007977288460242E-8</c:v>
                </c:pt>
                <c:pt idx="18">
                  <c:v>7.4421787666386599E-8</c:v>
                </c:pt>
                <c:pt idx="19">
                  <c:v>6.4463953108606614E-7</c:v>
                </c:pt>
                <c:pt idx="20">
                  <c:v>7.8761767740424494E-7</c:v>
                </c:pt>
                <c:pt idx="21">
                  <c:v>2.2582933496242946E-6</c:v>
                </c:pt>
                <c:pt idx="22">
                  <c:v>2.9142366444659832E-6</c:v>
                </c:pt>
                <c:pt idx="23">
                  <c:v>3.7911356050073115E-6</c:v>
                </c:pt>
                <c:pt idx="24">
                  <c:v>6.1292229585230439E-6</c:v>
                </c:pt>
                <c:pt idx="25">
                  <c:v>8.9967233568530302E-6</c:v>
                </c:pt>
                <c:pt idx="26">
                  <c:v>1.233609164877394E-5</c:v>
                </c:pt>
                <c:pt idx="27">
                  <c:v>1.613561262893877E-5</c:v>
                </c:pt>
                <c:pt idx="28">
                  <c:v>2.0389032359386123E-5</c:v>
                </c:pt>
                <c:pt idx="29">
                  <c:v>2.7896522120382277E-5</c:v>
                </c:pt>
                <c:pt idx="30">
                  <c:v>3.4147753108393163E-5</c:v>
                </c:pt>
                <c:pt idx="31">
                  <c:v>4.1029949611978959E-5</c:v>
                </c:pt>
                <c:pt idx="32">
                  <c:v>4.8544273969271533E-5</c:v>
                </c:pt>
                <c:pt idx="33">
                  <c:v>5.6692727932485921E-5</c:v>
                </c:pt>
                <c:pt idx="34">
                  <c:v>6.5477982696394578E-5</c:v>
                </c:pt>
                <c:pt idx="35">
                  <c:v>7.4903260556928055E-5</c:v>
                </c:pt>
                <c:pt idx="36">
                  <c:v>8.4972256616025723E-5</c:v>
                </c:pt>
                <c:pt idx="37">
                  <c:v>9.6991935895223658E-5</c:v>
                </c:pt>
                <c:pt idx="38">
                  <c:v>1.1021353296924801E-4</c:v>
                </c:pt>
                <c:pt idx="39">
                  <c:v>1.244148965147945E-4</c:v>
                </c:pt>
                <c:pt idx="40">
                  <c:v>1.3960614408876169E-4</c:v>
                </c:pt>
                <c:pt idx="41">
                  <c:v>1.5579733824399569E-4</c:v>
                </c:pt>
                <c:pt idx="42">
                  <c:v>1.7299851051530958E-4</c:v>
                </c:pt>
                <c:pt idx="43">
                  <c:v>1.91219695776541E-4</c:v>
                </c:pt>
                <c:pt idx="44">
                  <c:v>2.0150243389988355E-4</c:v>
                </c:pt>
                <c:pt idx="45">
                  <c:v>2.0943177966555181E-4</c:v>
                </c:pt>
                <c:pt idx="46">
                  <c:v>2.1759298017943473E-4</c:v>
                </c:pt>
                <c:pt idx="47">
                  <c:v>2.2598350885008809E-4</c:v>
                </c:pt>
                <c:pt idx="48">
                  <c:v>2.3460143566237412E-4</c:v>
                </c:pt>
                <c:pt idx="49">
                  <c:v>2.4344532625639415E-4</c:v>
                </c:pt>
                <c:pt idx="50">
                  <c:v>2.5251416310686402E-4</c:v>
                </c:pt>
                <c:pt idx="51">
                  <c:v>2.6180728188418458E-4</c:v>
                </c:pt>
                <c:pt idx="52">
                  <c:v>2.7132432307696745E-4</c:v>
                </c:pt>
                <c:pt idx="53">
                  <c:v>2.8106519194730901E-4</c:v>
                </c:pt>
                <c:pt idx="54">
                  <c:v>2.9103002889264317E-4</c:v>
                </c:pt>
                <c:pt idx="55">
                  <c:v>3.0121918506770127E-4</c:v>
                </c:pt>
                <c:pt idx="56">
                  <c:v>3.1163320369643127E-4</c:v>
                </c:pt>
                <c:pt idx="57">
                  <c:v>3.2227280577636834E-4</c:v>
                </c:pt>
                <c:pt idx="58">
                  <c:v>3.3313887902520437E-4</c:v>
                </c:pt>
                <c:pt idx="59">
                  <c:v>3.442324713263655E-4</c:v>
                </c:pt>
                <c:pt idx="60">
                  <c:v>3.5555478386162432E-4</c:v>
                </c:pt>
                <c:pt idx="61">
                  <c:v>3.6710716902530827E-4</c:v>
                </c:pt>
                <c:pt idx="62">
                  <c:v>3.7889112888374104E-4</c:v>
                </c:pt>
                <c:pt idx="63">
                  <c:v>3.9090831599078636E-4</c:v>
                </c:pt>
                <c:pt idx="64">
                  <c:v>5.2710751318539584E-4</c:v>
                </c:pt>
                <c:pt idx="65">
                  <c:v>5.8122693562820697E-4</c:v>
                </c:pt>
                <c:pt idx="66">
                  <c:v>6.1196489842134697E-4</c:v>
                </c:pt>
                <c:pt idx="67">
                  <c:v>6.4366673031445278E-4</c:v>
                </c:pt>
                <c:pt idx="68">
                  <c:v>6.7690138242371622E-4</c:v>
                </c:pt>
                <c:pt idx="69">
                  <c:v>7.1220015311268764E-4</c:v>
                </c:pt>
                <c:pt idx="70">
                  <c:v>9.2373423117274658E-4</c:v>
                </c:pt>
                <c:pt idx="71">
                  <c:v>9.7197946815747404E-4</c:v>
                </c:pt>
                <c:pt idx="72">
                  <c:v>1.0215806075401339E-3</c:v>
                </c:pt>
                <c:pt idx="73">
                  <c:v>1.0725414525127788E-3</c:v>
                </c:pt>
                <c:pt idx="74">
                  <c:v>1.1248656960866387E-3</c:v>
                </c:pt>
                <c:pt idx="75">
                  <c:v>1.1785569182588514E-3</c:v>
                </c:pt>
                <c:pt idx="76">
                  <c:v>1.2336186015943873E-3</c:v>
                </c:pt>
                <c:pt idx="77">
                  <c:v>1.2900541459188893E-3</c:v>
                </c:pt>
                <c:pt idx="78">
                  <c:v>2.3417947460872075E-3</c:v>
                </c:pt>
                <c:pt idx="79">
                  <c:v>2.4039621873699871E-3</c:v>
                </c:pt>
                <c:pt idx="80">
                  <c:v>2.4670148846957095E-3</c:v>
                </c:pt>
                <c:pt idx="81">
                  <c:v>2.5309505094194963E-3</c:v>
                </c:pt>
                <c:pt idx="82">
                  <c:v>2.5957668200473033E-3</c:v>
                </c:pt>
                <c:pt idx="83">
                  <c:v>2.6614616797110205E-3</c:v>
                </c:pt>
                <c:pt idx="84">
                  <c:v>2.7280330239474833E-3</c:v>
                </c:pt>
                <c:pt idx="85">
                  <c:v>2.7954788771231342E-3</c:v>
                </c:pt>
                <c:pt idx="86">
                  <c:v>2.8637973290220782E-3</c:v>
                </c:pt>
                <c:pt idx="87">
                  <c:v>2.9329865335208033E-3</c:v>
                </c:pt>
                <c:pt idx="88">
                  <c:v>3.0080827599342792E-3</c:v>
                </c:pt>
                <c:pt idx="89">
                  <c:v>3.0855483338062431E-3</c:v>
                </c:pt>
                <c:pt idx="90">
                  <c:v>3.164205224460375E-3</c:v>
                </c:pt>
                <c:pt idx="91">
                  <c:v>3.2440521012868664E-3</c:v>
                </c:pt>
                <c:pt idx="92">
                  <c:v>3.3250877348839475E-3</c:v>
                </c:pt>
                <c:pt idx="93">
                  <c:v>3.4073109653295873E-3</c:v>
                </c:pt>
                <c:pt idx="94">
                  <c:v>3.6154853455104192E-3</c:v>
                </c:pt>
                <c:pt idx="95">
                  <c:v>3.7122375022227063E-3</c:v>
                </c:pt>
                <c:pt idx="96">
                  <c:v>3.8105401316618909E-3</c:v>
                </c:pt>
                <c:pt idx="97">
                  <c:v>3.910393669027336E-3</c:v>
                </c:pt>
                <c:pt idx="98">
                  <c:v>4.011798567237033E-3</c:v>
                </c:pt>
                <c:pt idx="99">
                  <c:v>4.1147552944635355E-3</c:v>
                </c:pt>
                <c:pt idx="100">
                  <c:v>4.219264316767112E-3</c:v>
                </c:pt>
                <c:pt idx="101">
                  <c:v>4.3253261092453766E-3</c:v>
                </c:pt>
                <c:pt idx="102">
                  <c:v>4.542109889913418E-3</c:v>
                </c:pt>
                <c:pt idx="103">
                  <c:v>4.7676271276182016E-3</c:v>
                </c:pt>
                <c:pt idx="104">
                  <c:v>5.0119615167507374E-3</c:v>
                </c:pt>
                <c:pt idx="105">
                  <c:v>5.263477972302027E-3</c:v>
                </c:pt>
                <c:pt idx="106">
                  <c:v>5.5221879927329328E-3</c:v>
                </c:pt>
                <c:pt idx="107">
                  <c:v>5.7881022964053315E-3</c:v>
                </c:pt>
                <c:pt idx="108">
                  <c:v>6.061230866799946E-3</c:v>
                </c:pt>
                <c:pt idx="109">
                  <c:v>6.3415829600034085E-3</c:v>
                </c:pt>
                <c:pt idx="110">
                  <c:v>6.6291671711631549E-3</c:v>
                </c:pt>
              </c:numCache>
            </c:numRef>
          </c:yVal>
          <c:smooth val="0"/>
          <c:extLst>
            <c:ext xmlns:c16="http://schemas.microsoft.com/office/drawing/2014/chart" uri="{C3380CC4-5D6E-409C-BE32-E72D297353CC}">
              <c16:uniqueId val="{0000000C-8561-40A2-B1C8-E3BCD062F203}"/>
            </c:ext>
          </c:extLst>
        </c:ser>
        <c:ser>
          <c:idx val="2"/>
          <c:order val="13"/>
          <c:tx>
            <c:v>F105 IL</c:v>
          </c:tx>
          <c:spPr>
            <a:ln w="19050" cap="rnd">
              <a:solidFill>
                <a:schemeClr val="bg1">
                  <a:lumMod val="65000"/>
                </a:schemeClr>
              </a:solidFill>
              <a:prstDash val="dash"/>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'c'!$K$277:$K$387</c:f>
              <c:numCache>
                <c:formatCode>General</c:formatCode>
                <c:ptCount val="111"/>
                <c:pt idx="1">
                  <c:v>1.1041206642935996E-10</c:v>
                </c:pt>
                <c:pt idx="2">
                  <c:v>3.9083769619238301E-10</c:v>
                </c:pt>
                <c:pt idx="3">
                  <c:v>8.3417937989991067E-10</c:v>
                </c:pt>
                <c:pt idx="4">
                  <c:v>1.386349467927615E-9</c:v>
                </c:pt>
                <c:pt idx="5">
                  <c:v>2.0221458734314633E-9</c:v>
                </c:pt>
                <c:pt idx="6">
                  <c:v>2.7280832073013042E-9</c:v>
                </c:pt>
                <c:pt idx="7">
                  <c:v>3.4900089065007571E-9</c:v>
                </c:pt>
                <c:pt idx="8">
                  <c:v>3.4526056345473889E-9</c:v>
                </c:pt>
                <c:pt idx="9">
                  <c:v>3.6845391625690188E-9</c:v>
                </c:pt>
                <c:pt idx="10">
                  <c:v>4.5596110754008729E-9</c:v>
                </c:pt>
                <c:pt idx="11">
                  <c:v>5.1354735156530644E-9</c:v>
                </c:pt>
                <c:pt idx="12">
                  <c:v>1.8798184111580765E-8</c:v>
                </c:pt>
                <c:pt idx="13">
                  <c:v>3.8278906377905918E-8</c:v>
                </c:pt>
                <c:pt idx="14">
                  <c:v>6.0608403280868133E-8</c:v>
                </c:pt>
                <c:pt idx="15">
                  <c:v>8.7897519775557316E-8</c:v>
                </c:pt>
                <c:pt idx="16">
                  <c:v>1.1936955455996198E-7</c:v>
                </c:pt>
                <c:pt idx="17">
                  <c:v>1.6248811814761335E-7</c:v>
                </c:pt>
                <c:pt idx="18">
                  <c:v>1.7758736905165257E-7</c:v>
                </c:pt>
                <c:pt idx="19">
                  <c:v>1.9509795558417127E-7</c:v>
                </c:pt>
                <c:pt idx="20">
                  <c:v>2.1743961752353268E-7</c:v>
                </c:pt>
                <c:pt idx="21">
                  <c:v>7.383804602075083E-7</c:v>
                </c:pt>
                <c:pt idx="22">
                  <c:v>1.5259033356619188E-6</c:v>
                </c:pt>
                <c:pt idx="23">
                  <c:v>2.7596790925296323E-6</c:v>
                </c:pt>
                <c:pt idx="24">
                  <c:v>3.5046103387111095E-6</c:v>
                </c:pt>
                <c:pt idx="25">
                  <c:v>4.9046144530215657E-6</c:v>
                </c:pt>
                <c:pt idx="26">
                  <c:v>6.741744082898285E-6</c:v>
                </c:pt>
                <c:pt idx="27">
                  <c:v>9.3991166552796059E-6</c:v>
                </c:pt>
                <c:pt idx="28">
                  <c:v>1.3064944908041459E-5</c:v>
                </c:pt>
                <c:pt idx="29">
                  <c:v>1.745912521949417E-5</c:v>
                </c:pt>
                <c:pt idx="30">
                  <c:v>2.2608627466074434E-5</c:v>
                </c:pt>
                <c:pt idx="31">
                  <c:v>2.853577491957245E-5</c:v>
                </c:pt>
                <c:pt idx="32">
                  <c:v>3.5654040573245164E-5</c:v>
                </c:pt>
                <c:pt idx="33">
                  <c:v>4.2317438394921847E-5</c:v>
                </c:pt>
                <c:pt idx="34">
                  <c:v>4.6953384651077838E-5</c:v>
                </c:pt>
                <c:pt idx="35">
                  <c:v>5.8673199879728151E-5</c:v>
                </c:pt>
                <c:pt idx="36">
                  <c:v>6.7127386360059407E-5</c:v>
                </c:pt>
                <c:pt idx="37">
                  <c:v>7.6703951727567958E-5</c:v>
                </c:pt>
                <c:pt idx="38">
                  <c:v>8.7451898536267092E-5</c:v>
                </c:pt>
                <c:pt idx="39">
                  <c:v>9.9420682299452756E-5</c:v>
                </c:pt>
                <c:pt idx="40">
                  <c:v>1.1265909003685684E-4</c:v>
                </c:pt>
                <c:pt idx="41">
                  <c:v>1.2721450573893828E-4</c:v>
                </c:pt>
                <c:pt idx="42">
                  <c:v>1.4313244010723451E-4</c:v>
                </c:pt>
                <c:pt idx="43">
                  <c:v>1.6045624724847374E-4</c:v>
                </c:pt>
                <c:pt idx="44">
                  <c:v>1.7922696615042686E-4</c:v>
                </c:pt>
                <c:pt idx="45">
                  <c:v>2.0530129448236679E-4</c:v>
                </c:pt>
                <c:pt idx="46">
                  <c:v>2.3396071907602964E-4</c:v>
                </c:pt>
                <c:pt idx="47">
                  <c:v>2.6515256344971012E-4</c:v>
                </c:pt>
                <c:pt idx="48">
                  <c:v>3.0044662851224122E-4</c:v>
                </c:pt>
                <c:pt idx="49">
                  <c:v>3.3768576985549424E-4</c:v>
                </c:pt>
                <c:pt idx="50">
                  <c:v>3.7087006805846563E-4</c:v>
                </c:pt>
                <c:pt idx="51">
                  <c:v>3.992028350593978E-4</c:v>
                </c:pt>
                <c:pt idx="52">
                  <c:v>4.3553846769955895E-4</c:v>
                </c:pt>
                <c:pt idx="53">
                  <c:v>4.8230525119494623E-4</c:v>
                </c:pt>
                <c:pt idx="54">
                  <c:v>5.3273493352371242E-4</c:v>
                </c:pt>
                <c:pt idx="55">
                  <c:v>5.8693300825641171E-4</c:v>
                </c:pt>
                <c:pt idx="56">
                  <c:v>6.4500130543587459E-4</c:v>
                </c:pt>
                <c:pt idx="57">
                  <c:v>7.0703788356604269E-4</c:v>
                </c:pt>
                <c:pt idx="58">
                  <c:v>7.7313697162623802E-4</c:v>
                </c:pt>
                <c:pt idx="59">
                  <c:v>8.4338896127988028E-4</c:v>
                </c:pt>
                <c:pt idx="60">
                  <c:v>9.1788041804090272E-4</c:v>
                </c:pt>
                <c:pt idx="61">
                  <c:v>9.9669413189119459E-4</c:v>
                </c:pt>
                <c:pt idx="62">
                  <c:v>9.5951220643075046E-4</c:v>
                </c:pt>
                <c:pt idx="63">
                  <c:v>1.0435583383991097E-3</c:v>
                </c:pt>
                <c:pt idx="64">
                  <c:v>1.1321790585733357E-3</c:v>
                </c:pt>
                <c:pt idx="65">
                  <c:v>1.2254453320713812E-3</c:v>
                </c:pt>
                <c:pt idx="66">
                  <c:v>1.323424504263482E-3</c:v>
                </c:pt>
                <c:pt idx="67">
                  <c:v>1.426180419450926E-3</c:v>
                </c:pt>
                <c:pt idx="68">
                  <c:v>1.5411102073802857E-3</c:v>
                </c:pt>
                <c:pt idx="69">
                  <c:v>1.6569638491960629E-3</c:v>
                </c:pt>
                <c:pt idx="70">
                  <c:v>1.778475253110303E-3</c:v>
                </c:pt>
                <c:pt idx="71">
                  <c:v>1.9662987249366892E-3</c:v>
                </c:pt>
                <c:pt idx="72">
                  <c:v>2.1164897441417357E-3</c:v>
                </c:pt>
                <c:pt idx="73">
                  <c:v>2.2750524328940189E-3</c:v>
                </c:pt>
                <c:pt idx="74">
                  <c:v>2.4362064905524214E-3</c:v>
                </c:pt>
                <c:pt idx="75">
                  <c:v>2.5958166837139742E-3</c:v>
                </c:pt>
                <c:pt idx="76">
                  <c:v>2.7223063476591899E-3</c:v>
                </c:pt>
                <c:pt idx="77">
                  <c:v>2.8555128778888022E-3</c:v>
                </c:pt>
                <c:pt idx="78">
                  <c:v>2.9955626498916299E-3</c:v>
                </c:pt>
                <c:pt idx="79">
                  <c:v>3.1425836596925601E-3</c:v>
                </c:pt>
                <c:pt idx="80">
                  <c:v>3.2967049158265974E-3</c:v>
                </c:pt>
                <c:pt idx="81">
                  <c:v>3.4580559570648009E-3</c:v>
                </c:pt>
                <c:pt idx="82">
                  <c:v>3.6267663705853827E-3</c:v>
                </c:pt>
                <c:pt idx="83">
                  <c:v>3.7998766224188142E-3</c:v>
                </c:pt>
                <c:pt idx="84">
                  <c:v>3.9855206253017724E-3</c:v>
                </c:pt>
                <c:pt idx="85">
                  <c:v>4.1781139215057456E-3</c:v>
                </c:pt>
                <c:pt idx="86">
                  <c:v>4.3777453039025626E-3</c:v>
                </c:pt>
                <c:pt idx="87">
                  <c:v>4.5845018889188087E-3</c:v>
                </c:pt>
                <c:pt idx="88">
                  <c:v>4.7984690720073893E-3</c:v>
                </c:pt>
                <c:pt idx="89">
                  <c:v>5.0197304448905211E-3</c:v>
                </c:pt>
                <c:pt idx="90">
                  <c:v>5.2483677730211752E-3</c:v>
                </c:pt>
                <c:pt idx="91">
                  <c:v>5.4844609521041013E-3</c:v>
                </c:pt>
                <c:pt idx="92">
                  <c:v>5.7280880077217036E-3</c:v>
                </c:pt>
                <c:pt idx="93">
                  <c:v>5.9793250435611822E-3</c:v>
                </c:pt>
                <c:pt idx="94">
                  <c:v>6.2382462833751881E-3</c:v>
                </c:pt>
                <c:pt idx="95">
                  <c:v>6.504924023571672E-3</c:v>
                </c:pt>
                <c:pt idx="96">
                  <c:v>6.8002865578196629E-3</c:v>
                </c:pt>
                <c:pt idx="97">
                  <c:v>7.089713486503251E-3</c:v>
                </c:pt>
                <c:pt idx="98">
                  <c:v>7.5015519075969867E-3</c:v>
                </c:pt>
                <c:pt idx="99">
                  <c:v>7.837543924558878E-3</c:v>
                </c:pt>
                <c:pt idx="100">
                  <c:v>8.1862864789423555E-3</c:v>
                </c:pt>
                <c:pt idx="101">
                  <c:v>8.5479564595675201E-3</c:v>
                </c:pt>
                <c:pt idx="102">
                  <c:v>9.3107783720253294E-3</c:v>
                </c:pt>
                <c:pt idx="103">
                  <c:v>1.0127391094476166E-2</c:v>
                </c:pt>
                <c:pt idx="104">
                  <c:v>1.0999144754034053E-2</c:v>
                </c:pt>
                <c:pt idx="105">
                  <c:v>1.1927354823782352E-2</c:v>
                </c:pt>
                <c:pt idx="106">
                  <c:v>1.2913227429327356E-2</c:v>
                </c:pt>
                <c:pt idx="107">
                  <c:v>1.3957682647327309E-2</c:v>
                </c:pt>
                <c:pt idx="108">
                  <c:v>1.5062276715064816E-2</c:v>
                </c:pt>
                <c:pt idx="109">
                  <c:v>1.6228166643484403E-2</c:v>
                </c:pt>
                <c:pt idx="110">
                  <c:v>1.7456467964896839E-2</c:v>
                </c:pt>
              </c:numCache>
            </c:numRef>
          </c:yVal>
          <c:smooth val="0"/>
          <c:extLst>
            <c:ext xmlns:c16="http://schemas.microsoft.com/office/drawing/2014/chart" uri="{C3380CC4-5D6E-409C-BE32-E72D297353CC}">
              <c16:uniqueId val="{0000000D-8561-40A2-B1C8-E3BCD062F203}"/>
            </c:ext>
          </c:extLst>
        </c:ser>
        <c:ser>
          <c:idx val="3"/>
          <c:order val="14"/>
          <c:tx>
            <c:v>F105 CF with arch action</c:v>
          </c:tx>
          <c:spPr>
            <a:ln w="19050" cap="rnd">
              <a:solidFill>
                <a:schemeClr val="tx1"/>
              </a:solidFill>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'c'!$L$277:$L$387</c:f>
              <c:numCache>
                <c:formatCode>General</c:formatCode>
                <c:ptCount val="111"/>
                <c:pt idx="1">
                  <c:v>3.9748473376700903E-11</c:v>
                </c:pt>
                <c:pt idx="2">
                  <c:v>3.1548983143620638E-10</c:v>
                </c:pt>
                <c:pt idx="3">
                  <c:v>8.2709284133178666E-10</c:v>
                </c:pt>
                <c:pt idx="4">
                  <c:v>1.5366183402099433E-9</c:v>
                </c:pt>
                <c:pt idx="5">
                  <c:v>2.4189173757129786E-9</c:v>
                </c:pt>
                <c:pt idx="6">
                  <c:v>3.4573548328096675E-9</c:v>
                </c:pt>
                <c:pt idx="7">
                  <c:v>4.640610085572926E-9</c:v>
                </c:pt>
                <c:pt idx="8">
                  <c:v>5.9608672817158404E-9</c:v>
                </c:pt>
                <c:pt idx="9">
                  <c:v>7.4127633828189754E-9</c:v>
                </c:pt>
                <c:pt idx="10">
                  <c:v>8.9927460003567778E-9</c:v>
                </c:pt>
                <c:pt idx="11">
                  <c:v>1.0073166827430612E-8</c:v>
                </c:pt>
                <c:pt idx="12">
                  <c:v>2.8751053476286564E-8</c:v>
                </c:pt>
                <c:pt idx="13">
                  <c:v>3.6807662354261372E-8</c:v>
                </c:pt>
                <c:pt idx="14">
                  <c:v>4.7205611261647893E-8</c:v>
                </c:pt>
                <c:pt idx="15">
                  <c:v>5.8873394548549548E-8</c:v>
                </c:pt>
                <c:pt idx="16">
                  <c:v>7.1415651564199197E-8</c:v>
                </c:pt>
                <c:pt idx="17">
                  <c:v>8.9020798085469034E-8</c:v>
                </c:pt>
                <c:pt idx="18">
                  <c:v>1.00722043576125E-7</c:v>
                </c:pt>
                <c:pt idx="19">
                  <c:v>1.1384338126775429E-7</c:v>
                </c:pt>
                <c:pt idx="20">
                  <c:v>1.315694872885549E-7</c:v>
                </c:pt>
                <c:pt idx="21">
                  <c:v>2.2708166827268179E-6</c:v>
                </c:pt>
                <c:pt idx="22">
                  <c:v>2.9262877948176267E-6</c:v>
                </c:pt>
                <c:pt idx="23">
                  <c:v>3.8055698943758381E-6</c:v>
                </c:pt>
                <c:pt idx="24">
                  <c:v>6.189740491438829E-6</c:v>
                </c:pt>
                <c:pt idx="25">
                  <c:v>9.0805005768239285E-6</c:v>
                </c:pt>
                <c:pt idx="26">
                  <c:v>1.2445336987867594E-5</c:v>
                </c:pt>
                <c:pt idx="27">
                  <c:v>1.6271654859685054E-5</c:v>
                </c:pt>
                <c:pt idx="28">
                  <c:v>2.0552930381027251E-5</c:v>
                </c:pt>
                <c:pt idx="29">
                  <c:v>2.8100851363580337E-5</c:v>
                </c:pt>
                <c:pt idx="30">
                  <c:v>3.43854463610133E-5</c:v>
                </c:pt>
                <c:pt idx="31">
                  <c:v>4.1302009275195946E-5</c:v>
                </c:pt>
                <c:pt idx="32">
                  <c:v>4.8851578846515178E-5</c:v>
                </c:pt>
                <c:pt idx="33">
                  <c:v>5.7036059614634993E-5</c:v>
                </c:pt>
                <c:pt idx="34">
                  <c:v>6.585804564631643E-5</c:v>
                </c:pt>
                <c:pt idx="35">
                  <c:v>7.5320697616824527E-5</c:v>
                </c:pt>
                <c:pt idx="36">
                  <c:v>8.5427661165195665E-5</c:v>
                </c:pt>
                <c:pt idx="37">
                  <c:v>9.748973710081314E-5</c:v>
                </c:pt>
                <c:pt idx="38">
                  <c:v>1.1075565674417104E-4</c:v>
                </c:pt>
                <c:pt idx="39">
                  <c:v>1.2500238263950028E-4</c:v>
                </c:pt>
                <c:pt idx="40">
                  <c:v>1.4023996571886177E-4</c:v>
                </c:pt>
                <c:pt idx="41">
                  <c:v>1.5647841125888631E-4</c:v>
                </c:pt>
                <c:pt idx="42">
                  <c:v>1.7372770154447674E-4</c:v>
                </c:pt>
                <c:pt idx="43">
                  <c:v>1.9199782914309236E-4</c:v>
                </c:pt>
                <c:pt idx="44">
                  <c:v>2.0229701614951089E-4</c:v>
                </c:pt>
                <c:pt idx="45">
                  <c:v>2.1022720398638652E-4</c:v>
                </c:pt>
                <c:pt idx="46">
                  <c:v>2.1838968985048781E-4</c:v>
                </c:pt>
                <c:pt idx="47">
                  <c:v>2.2678190085060582E-4</c:v>
                </c:pt>
                <c:pt idx="48">
                  <c:v>2.3540186744940432E-4</c:v>
                </c:pt>
                <c:pt idx="49">
                  <c:v>2.4424812142266188E-4</c:v>
                </c:pt>
                <c:pt idx="50">
                  <c:v>2.5331961613057078E-4</c:v>
                </c:pt>
                <c:pt idx="51">
                  <c:v>2.6261566213610886E-4</c:v>
                </c:pt>
                <c:pt idx="52">
                  <c:v>2.7213587822231877E-4</c:v>
                </c:pt>
                <c:pt idx="53">
                  <c:v>2.8188015084589684E-4</c:v>
                </c:pt>
                <c:pt idx="54">
                  <c:v>2.918486040877735E-4</c:v>
                </c:pt>
                <c:pt idx="55">
                  <c:v>3.0204157493058097E-4</c:v>
                </c:pt>
                <c:pt idx="56">
                  <c:v>3.1245959428467411E-4</c:v>
                </c:pt>
                <c:pt idx="57">
                  <c:v>3.2310337245202E-4</c:v>
                </c:pt>
                <c:pt idx="58">
                  <c:v>3.3397378787133598E-4</c:v>
                </c:pt>
                <c:pt idx="59">
                  <c:v>3.4507188039552055E-4</c:v>
                </c:pt>
                <c:pt idx="60">
                  <c:v>3.5639884427829247E-4</c:v>
                </c:pt>
                <c:pt idx="61">
                  <c:v>3.6795602596830678E-4</c:v>
                </c:pt>
                <c:pt idx="62">
                  <c:v>3.7974492246525674E-4</c:v>
                </c:pt>
                <c:pt idx="63">
                  <c:v>3.9176718204993779E-4</c:v>
                </c:pt>
                <c:pt idx="64">
                  <c:v>5.2778475018266176E-4</c:v>
                </c:pt>
                <c:pt idx="65">
                  <c:v>5.8192145089132092E-4</c:v>
                </c:pt>
                <c:pt idx="66">
                  <c:v>6.1267273771247518E-4</c:v>
                </c:pt>
                <c:pt idx="67">
                  <c:v>6.4438791796547377E-4</c:v>
                </c:pt>
                <c:pt idx="68">
                  <c:v>6.7761726322207341E-4</c:v>
                </c:pt>
                <c:pt idx="69">
                  <c:v>7.1292997875586277E-4</c:v>
                </c:pt>
                <c:pt idx="70">
                  <c:v>9.2383395008644115E-4</c:v>
                </c:pt>
                <c:pt idx="71">
                  <c:v>9.7208346143493746E-4</c:v>
                </c:pt>
                <c:pt idx="72">
                  <c:v>1.0216889297659502E-3</c:v>
                </c:pt>
                <c:pt idx="73">
                  <c:v>1.0726541564866042E-3</c:v>
                </c:pt>
                <c:pt idx="74">
                  <c:v>1.1249828328874097E-3</c:v>
                </c:pt>
                <c:pt idx="75">
                  <c:v>1.1786785373050454E-3</c:v>
                </c:pt>
                <c:pt idx="76">
                  <c:v>1.2337447507031253E-3</c:v>
                </c:pt>
                <c:pt idx="77">
                  <c:v>1.2901848713639168E-3</c:v>
                </c:pt>
                <c:pt idx="78">
                  <c:v>2.3422353009023475E-3</c:v>
                </c:pt>
                <c:pt idx="79">
                  <c:v>2.4044086995741684E-3</c:v>
                </c:pt>
                <c:pt idx="80">
                  <c:v>2.4674673730600122E-3</c:v>
                </c:pt>
                <c:pt idx="81">
                  <c:v>2.5314089915776487E-3</c:v>
                </c:pt>
                <c:pt idx="82">
                  <c:v>2.5962313125594888E-3</c:v>
                </c:pt>
                <c:pt idx="83">
                  <c:v>2.6619321981300277E-3</c:v>
                </c:pt>
                <c:pt idx="84">
                  <c:v>2.7285095828734401E-3</c:v>
                </c:pt>
                <c:pt idx="85">
                  <c:v>2.7959614902604473E-3</c:v>
                </c:pt>
                <c:pt idx="86">
                  <c:v>2.8642860092275547E-3</c:v>
                </c:pt>
                <c:pt idx="87">
                  <c:v>2.9334812928498251E-3</c:v>
                </c:pt>
                <c:pt idx="88">
                  <c:v>3.0085844360516587E-3</c:v>
                </c:pt>
                <c:pt idx="89">
                  <c:v>3.08605718294397E-3</c:v>
                </c:pt>
                <c:pt idx="90">
                  <c:v>3.1647212887782306E-3</c:v>
                </c:pt>
                <c:pt idx="91">
                  <c:v>3.2445754213873963E-3</c:v>
                </c:pt>
                <c:pt idx="92">
                  <c:v>3.325618349890677E-3</c:v>
                </c:pt>
                <c:pt idx="93">
                  <c:v>3.4078489129540299E-3</c:v>
                </c:pt>
                <c:pt idx="94">
                  <c:v>3.6160339540661736E-3</c:v>
                </c:pt>
                <c:pt idx="95">
                  <c:v>3.7127944527576527E-3</c:v>
                </c:pt>
                <c:pt idx="96">
                  <c:v>3.8111054706047912E-3</c:v>
                </c:pt>
                <c:pt idx="97">
                  <c:v>3.9109674413678715E-3</c:v>
                </c:pt>
                <c:pt idx="98">
                  <c:v>4.0123808165849718E-3</c:v>
                </c:pt>
                <c:pt idx="99">
                  <c:v>4.1153460631056004E-3</c:v>
                </c:pt>
                <c:pt idx="100">
                  <c:v>4.2198636457167942E-3</c:v>
                </c:pt>
                <c:pt idx="101">
                  <c:v>4.3259340382943625E-3</c:v>
                </c:pt>
                <c:pt idx="102">
                  <c:v>4.5427351338740039E-3</c:v>
                </c:pt>
                <c:pt idx="103">
                  <c:v>4.7682605282299579E-3</c:v>
                </c:pt>
                <c:pt idx="104">
                  <c:v>5.0126136057078189E-3</c:v>
                </c:pt>
                <c:pt idx="105">
                  <c:v>5.2641489082068125E-3</c:v>
                </c:pt>
                <c:pt idx="106">
                  <c:v>5.5228779260428455E-3</c:v>
                </c:pt>
                <c:pt idx="107">
                  <c:v>5.7888113699360822E-3</c:v>
                </c:pt>
                <c:pt idx="108">
                  <c:v>6.0619592161889214E-3</c:v>
                </c:pt>
                <c:pt idx="109">
                  <c:v>6.3423307141329197E-3</c:v>
                </c:pt>
                <c:pt idx="110">
                  <c:v>6.6299344525542828E-3</c:v>
                </c:pt>
              </c:numCache>
            </c:numRef>
          </c:yVal>
          <c:smooth val="0"/>
          <c:extLst>
            <c:ext xmlns:c16="http://schemas.microsoft.com/office/drawing/2014/chart" uri="{C3380CC4-5D6E-409C-BE32-E72D297353CC}">
              <c16:uniqueId val="{0000000E-8561-40A2-B1C8-E3BCD062F203}"/>
            </c:ext>
          </c:extLst>
        </c:ser>
        <c:ser>
          <c:idx val="15"/>
          <c:order val="15"/>
          <c:tx>
            <c:v>F105 IL with arch action</c:v>
          </c:tx>
          <c:spPr>
            <a:ln w="19050" cap="rnd">
              <a:solidFill>
                <a:schemeClr val="tx1"/>
              </a:solidFill>
              <a:prstDash val="dash"/>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'c'!$M$277:$M$387</c:f>
              <c:numCache>
                <c:formatCode>General</c:formatCode>
                <c:ptCount val="111"/>
                <c:pt idx="1">
                  <c:v>1.1113999936810894E-10</c:v>
                </c:pt>
                <c:pt idx="2">
                  <c:v>3.9085356812067546E-10</c:v>
                </c:pt>
                <c:pt idx="3">
                  <c:v>8.3427691384768017E-10</c:v>
                </c:pt>
                <c:pt idx="4">
                  <c:v>1.386608795981331E-9</c:v>
                </c:pt>
                <c:pt idx="5">
                  <c:v>2.0226752460063418E-9</c:v>
                </c:pt>
                <c:pt idx="6">
                  <c:v>2.7289644380883384E-9</c:v>
                </c:pt>
                <c:pt idx="7">
                  <c:v>3.4913347001537886E-9</c:v>
                </c:pt>
                <c:pt idx="8">
                  <c:v>3.4543392079667602E-9</c:v>
                </c:pt>
                <c:pt idx="9">
                  <c:v>3.693762720302251E-9</c:v>
                </c:pt>
                <c:pt idx="10">
                  <c:v>4.5717984237724724E-9</c:v>
                </c:pt>
                <c:pt idx="11">
                  <c:v>5.1497661521165076E-9</c:v>
                </c:pt>
                <c:pt idx="12">
                  <c:v>1.8874537178687715E-8</c:v>
                </c:pt>
                <c:pt idx="13">
                  <c:v>3.8466304563914844E-8</c:v>
                </c:pt>
                <c:pt idx="14">
                  <c:v>6.0949680753147779E-8</c:v>
                </c:pt>
                <c:pt idx="15">
                  <c:v>8.844075414107319E-8</c:v>
                </c:pt>
                <c:pt idx="16">
                  <c:v>1.2017884915995771E-7</c:v>
                </c:pt>
                <c:pt idx="17">
                  <c:v>1.637265068013284E-7</c:v>
                </c:pt>
                <c:pt idx="18">
                  <c:v>1.7894685808443051E-7</c:v>
                </c:pt>
                <c:pt idx="19">
                  <c:v>1.9658830059935706E-7</c:v>
                </c:pt>
                <c:pt idx="20">
                  <c:v>2.1782290756683059E-7</c:v>
                </c:pt>
                <c:pt idx="21">
                  <c:v>7.3926863324290077E-7</c:v>
                </c:pt>
                <c:pt idx="22">
                  <c:v>1.5274690072712609E-6</c:v>
                </c:pt>
                <c:pt idx="23">
                  <c:v>2.7605551119096361E-6</c:v>
                </c:pt>
                <c:pt idx="24">
                  <c:v>3.5046970967206028E-6</c:v>
                </c:pt>
                <c:pt idx="25">
                  <c:v>4.9159810657185231E-6</c:v>
                </c:pt>
                <c:pt idx="26">
                  <c:v>6.758946534605063E-6</c:v>
                </c:pt>
                <c:pt idx="27">
                  <c:v>9.4264381886135586E-6</c:v>
                </c:pt>
                <c:pt idx="28">
                  <c:v>1.3104463288953433E-5</c:v>
                </c:pt>
                <c:pt idx="29">
                  <c:v>1.7513963495895657E-5</c:v>
                </c:pt>
                <c:pt idx="30">
                  <c:v>2.2682228936844401E-5</c:v>
                </c:pt>
                <c:pt idx="31">
                  <c:v>2.8631892214866364E-5</c:v>
                </c:pt>
                <c:pt idx="32">
                  <c:v>3.5777512616206827E-5</c:v>
                </c:pt>
                <c:pt idx="33">
                  <c:v>4.2473286411583291E-5</c:v>
                </c:pt>
                <c:pt idx="34">
                  <c:v>4.7124655814654581E-5</c:v>
                </c:pt>
                <c:pt idx="35">
                  <c:v>5.887865245142145E-5</c:v>
                </c:pt>
                <c:pt idx="36">
                  <c:v>6.7359040290702269E-5</c:v>
                </c:pt>
                <c:pt idx="37">
                  <c:v>7.6964746816096747E-5</c:v>
                </c:pt>
                <c:pt idx="38">
                  <c:v>8.7744909369710439E-5</c:v>
                </c:pt>
                <c:pt idx="39">
                  <c:v>9.9749127720937745E-5</c:v>
                </c:pt>
                <c:pt idx="40">
                  <c:v>1.1302634086549948E-4</c:v>
                </c:pt>
                <c:pt idx="41">
                  <c:v>1.2762409128050999E-4</c:v>
                </c:pt>
                <c:pt idx="42">
                  <c:v>1.4358805304567055E-4</c:v>
                </c:pt>
                <c:pt idx="43">
                  <c:v>1.6096174754366357E-4</c:v>
                </c:pt>
                <c:pt idx="44">
                  <c:v>1.7978638421738577E-4</c:v>
                </c:pt>
                <c:pt idx="45">
                  <c:v>2.0535040165456391E-4</c:v>
                </c:pt>
                <c:pt idx="46">
                  <c:v>2.340138819214913E-4</c:v>
                </c:pt>
                <c:pt idx="47">
                  <c:v>2.6520993097891205E-4</c:v>
                </c:pt>
                <c:pt idx="48">
                  <c:v>3.0050896385971551E-4</c:v>
                </c:pt>
                <c:pt idx="49">
                  <c:v>3.3775292861303974E-4</c:v>
                </c:pt>
                <c:pt idx="50">
                  <c:v>3.709417071890615E-4</c:v>
                </c:pt>
                <c:pt idx="51">
                  <c:v>3.9927859797680477E-4</c:v>
                </c:pt>
                <c:pt idx="52">
                  <c:v>4.3678241292898845E-4</c:v>
                </c:pt>
                <c:pt idx="53">
                  <c:v>4.8367044179855294E-4</c:v>
                </c:pt>
                <c:pt idx="54">
                  <c:v>5.3423040464884721E-4</c:v>
                </c:pt>
                <c:pt idx="55">
                  <c:v>5.8856813481953101E-4</c:v>
                </c:pt>
                <c:pt idx="56">
                  <c:v>6.4678580451235093E-4</c:v>
                </c:pt>
                <c:pt idx="57">
                  <c:v>7.0898181675298026E-4</c:v>
                </c:pt>
                <c:pt idx="58">
                  <c:v>7.7525074603851493E-4</c:v>
                </c:pt>
                <c:pt idx="59">
                  <c:v>8.4568333047425025E-4</c:v>
                </c:pt>
                <c:pt idx="60">
                  <c:v>9.2036648185836489E-4</c:v>
                </c:pt>
                <c:pt idx="61">
                  <c:v>9.9938333672386424E-4</c:v>
                </c:pt>
                <c:pt idx="62">
                  <c:v>9.6159274258980653E-4</c:v>
                </c:pt>
                <c:pt idx="63">
                  <c:v>1.0458309489576878E-3</c:v>
                </c:pt>
                <c:pt idx="64">
                  <c:v>1.1346558612407897E-3</c:v>
                </c:pt>
                <c:pt idx="65">
                  <c:v>1.228138815730652E-3</c:v>
                </c:pt>
                <c:pt idx="66">
                  <c:v>1.3263475254089189E-3</c:v>
                </c:pt>
                <c:pt idx="67">
                  <c:v>1.4293461991406286E-3</c:v>
                </c:pt>
                <c:pt idx="68">
                  <c:v>1.5445418930743445E-3</c:v>
                </c:pt>
                <c:pt idx="69">
                  <c:v>1.6606702924234506E-3</c:v>
                </c:pt>
                <c:pt idx="70">
                  <c:v>1.7824717377291992E-3</c:v>
                </c:pt>
                <c:pt idx="71">
                  <c:v>1.9100290823675108E-3</c:v>
                </c:pt>
                <c:pt idx="72">
                  <c:v>2.1212166362948961E-3</c:v>
                </c:pt>
                <c:pt idx="73">
                  <c:v>2.2801442802979715E-3</c:v>
                </c:pt>
                <c:pt idx="74">
                  <c:v>2.4417650242933601E-3</c:v>
                </c:pt>
                <c:pt idx="75">
                  <c:v>2.6017827363318037E-3</c:v>
                </c:pt>
                <c:pt idx="76">
                  <c:v>2.7284820323790651E-3</c:v>
                </c:pt>
                <c:pt idx="77">
                  <c:v>2.8619119630298412E-3</c:v>
                </c:pt>
                <c:pt idx="78">
                  <c:v>3.0021994100350529E-3</c:v>
                </c:pt>
                <c:pt idx="79">
                  <c:v>3.149472900787141E-3</c:v>
                </c:pt>
                <c:pt idx="80">
                  <c:v>3.3038619995413784E-3</c:v>
                </c:pt>
                <c:pt idx="81">
                  <c:v>3.4654968217482378E-3</c:v>
                </c:pt>
                <c:pt idx="82">
                  <c:v>3.6345075514849098E-3</c:v>
                </c:pt>
                <c:pt idx="83">
                  <c:v>3.8078671814578812E-3</c:v>
                </c:pt>
                <c:pt idx="84">
                  <c:v>3.9938759564089469E-3</c:v>
                </c:pt>
                <c:pt idx="85">
                  <c:v>4.1868471615238339E-3</c:v>
                </c:pt>
                <c:pt idx="86">
                  <c:v>4.3868698237022677E-3</c:v>
                </c:pt>
                <c:pt idx="87">
                  <c:v>4.5940312948245764E-3</c:v>
                </c:pt>
                <c:pt idx="88">
                  <c:v>4.8084172056237131E-3</c:v>
                </c:pt>
                <c:pt idx="89">
                  <c:v>5.0301113844823473E-3</c:v>
                </c:pt>
                <c:pt idx="90">
                  <c:v>5.2591958339308423E-3</c:v>
                </c:pt>
                <c:pt idx="91">
                  <c:v>5.4957506869749151E-3</c:v>
                </c:pt>
                <c:pt idx="92">
                  <c:v>5.7398542073121128E-3</c:v>
                </c:pt>
                <c:pt idx="93">
                  <c:v>5.9915827363849206E-3</c:v>
                </c:pt>
                <c:pt idx="94">
                  <c:v>6.2510107352757426E-3</c:v>
                </c:pt>
                <c:pt idx="95">
                  <c:v>6.5182107392005618E-3</c:v>
                </c:pt>
                <c:pt idx="96">
                  <c:v>6.8141362708563418E-3</c:v>
                </c:pt>
                <c:pt idx="97">
                  <c:v>7.104125586237635E-3</c:v>
                </c:pt>
                <c:pt idx="98">
                  <c:v>7.5166783903651791E-3</c:v>
                </c:pt>
                <c:pt idx="99">
                  <c:v>7.8533016683889189E-3</c:v>
                </c:pt>
                <c:pt idx="100">
                  <c:v>8.2026976431423884E-3</c:v>
                </c:pt>
                <c:pt idx="101">
                  <c:v>8.56504356828117E-3</c:v>
                </c:pt>
                <c:pt idx="102">
                  <c:v>9.3292864139727164E-3</c:v>
                </c:pt>
                <c:pt idx="103">
                  <c:v>1.0147414594515139E-2</c:v>
                </c:pt>
                <c:pt idx="104">
                  <c:v>1.102078121275623E-2</c:v>
                </c:pt>
                <c:pt idx="105">
                  <c:v>1.1950704735045219E-2</c:v>
                </c:pt>
                <c:pt idx="106">
                  <c:v>1.2938394227385706E-2</c:v>
                </c:pt>
                <c:pt idx="107">
                  <c:v>1.3984772505004479E-2</c:v>
                </c:pt>
                <c:pt idx="108">
                  <c:v>1.5091399126777231E-2</c:v>
                </c:pt>
                <c:pt idx="109">
                  <c:v>1.6259434115213391E-2</c:v>
                </c:pt>
                <c:pt idx="110">
                  <c:v>1.7489996009629326E-2</c:v>
                </c:pt>
              </c:numCache>
            </c:numRef>
          </c:yVal>
          <c:smooth val="0"/>
          <c:extLst>
            <c:ext xmlns:c16="http://schemas.microsoft.com/office/drawing/2014/chart" uri="{C3380CC4-5D6E-409C-BE32-E72D297353CC}">
              <c16:uniqueId val="{0000000F-8561-40A2-B1C8-E3BCD062F203}"/>
            </c:ext>
          </c:extLst>
        </c:ser>
        <c:ser>
          <c:idx val="26"/>
          <c:order val="26"/>
          <c:tx>
            <c:v>Eq. (17) CF</c:v>
          </c:tx>
          <c:spPr>
            <a:ln w="22225" cap="rnd">
              <a:solidFill>
                <a:schemeClr val="accent6"/>
              </a:solidFill>
              <a:round/>
            </a:ln>
            <a:effectLst/>
          </c:spPr>
          <c:marker>
            <c:symbol val="none"/>
          </c:marker>
          <c:xVal>
            <c:numRef>
              <c:f>'c'!$F$278:$F$387</c:f>
              <c:numCache>
                <c:formatCode>General</c:formatCode>
                <c:ptCount val="110"/>
                <c:pt idx="0">
                  <c:v>0.33267829875372046</c:v>
                </c:pt>
                <c:pt idx="1">
                  <c:v>0.39575656446617141</c:v>
                </c:pt>
                <c:pt idx="2">
                  <c:v>0.4381239752610987</c:v>
                </c:pt>
                <c:pt idx="3">
                  <c:v>0.47095314585805481</c:v>
                </c:pt>
                <c:pt idx="4">
                  <c:v>0.49813966592157205</c:v>
                </c:pt>
                <c:pt idx="5">
                  <c:v>0.52154559001759349</c:v>
                </c:pt>
                <c:pt idx="6">
                  <c:v>0.54221900665800793</c:v>
                </c:pt>
                <c:pt idx="7">
                  <c:v>0.56081343243821846</c:v>
                </c:pt>
                <c:pt idx="8">
                  <c:v>0.57776621465058287</c:v>
                </c:pt>
                <c:pt idx="9">
                  <c:v>0.59338565253686926</c:v>
                </c:pt>
                <c:pt idx="10">
                  <c:v>0.60281476301413028</c:v>
                </c:pt>
                <c:pt idx="11">
                  <c:v>0.71942354220977323</c:v>
                </c:pt>
                <c:pt idx="12">
                  <c:v>0.79899102696837254</c:v>
                </c:pt>
                <c:pt idx="13">
                  <c:v>0.8615932124770711</c:v>
                </c:pt>
                <c:pt idx="14">
                  <c:v>0.91421167354847854</c:v>
                </c:pt>
                <c:pt idx="15">
                  <c:v>0.96017509786639244</c:v>
                </c:pt>
                <c:pt idx="16">
                  <c:v>1.0013523954863526</c:v>
                </c:pt>
                <c:pt idx="17">
                  <c:v>1.0389059681607336</c:v>
                </c:pt>
                <c:pt idx="18">
                  <c:v>1.0736117603431587</c:v>
                </c:pt>
                <c:pt idx="19">
                  <c:v>1.1060153724490303</c:v>
                </c:pt>
                <c:pt idx="20">
                  <c:v>1.3593114846545298</c:v>
                </c:pt>
                <c:pt idx="21">
                  <c:v>1.5519544609164551</c:v>
                </c:pt>
                <c:pt idx="22">
                  <c:v>1.7177124856520969</c:v>
                </c:pt>
                <c:pt idx="23">
                  <c:v>1.8679819295741455</c:v>
                </c:pt>
                <c:pt idx="24">
                  <c:v>2.0080465492169632</c:v>
                </c:pt>
                <c:pt idx="25">
                  <c:v>2.1407975034095226</c:v>
                </c:pt>
                <c:pt idx="26">
                  <c:v>2.2679919604819596</c:v>
                </c:pt>
                <c:pt idx="27">
                  <c:v>2.3907796003245791</c:v>
                </c:pt>
                <c:pt idx="28">
                  <c:v>2.5099553283107761</c:v>
                </c:pt>
                <c:pt idx="29">
                  <c:v>2.626093014352795</c:v>
                </c:pt>
                <c:pt idx="30">
                  <c:v>2.7396216640525002</c:v>
                </c:pt>
                <c:pt idx="31">
                  <c:v>2.8508713737224554</c:v>
                </c:pt>
                <c:pt idx="32">
                  <c:v>2.9601023770646941</c:v>
                </c:pt>
                <c:pt idx="33">
                  <c:v>3.0675241265171453</c:v>
                </c:pt>
                <c:pt idx="34">
                  <c:v>3.1733082431755895</c:v>
                </c:pt>
                <c:pt idx="35">
                  <c:v>3.2775975546217837</c:v>
                </c:pt>
                <c:pt idx="36">
                  <c:v>3.3805125576606585</c:v>
                </c:pt>
                <c:pt idx="37">
                  <c:v>3.4821561394951028</c:v>
                </c:pt>
                <c:pt idx="38">
                  <c:v>3.5826170926931469</c:v>
                </c:pt>
                <c:pt idx="39">
                  <c:v>3.6819727769082746</c:v>
                </c:pt>
                <c:pt idx="40">
                  <c:v>3.7802911655237672</c:v>
                </c:pt>
                <c:pt idx="41">
                  <c:v>3.8776324413028918</c:v>
                </c:pt>
                <c:pt idx="42">
                  <c:v>3.9740502562164406</c:v>
                </c:pt>
                <c:pt idx="43">
                  <c:v>4.0695927376681276</c:v>
                </c:pt>
                <c:pt idx="44">
                  <c:v>4.1643033007270569</c:v>
                </c:pt>
                <c:pt idx="45">
                  <c:v>4.2582213101981523</c:v>
                </c:pt>
                <c:pt idx="46">
                  <c:v>4.3513826251808867</c:v>
                </c:pt>
                <c:pt idx="47">
                  <c:v>4.44382005073171</c:v>
                </c:pt>
                <c:pt idx="48">
                  <c:v>4.535563715395309</c:v>
                </c:pt>
                <c:pt idx="49">
                  <c:v>4.6266413890586833</c:v>
                </c:pt>
                <c:pt idx="50">
                  <c:v>4.7170787523691358</c:v>
                </c:pt>
                <c:pt idx="51">
                  <c:v>4.8068996265376835</c:v>
                </c:pt>
                <c:pt idx="52">
                  <c:v>4.896126170509346</c:v>
                </c:pt>
                <c:pt idx="53">
                  <c:v>4.9847790510694718</c:v>
                </c:pt>
                <c:pt idx="54">
                  <c:v>5.0728775903620189</c:v>
                </c:pt>
                <c:pt idx="55">
                  <c:v>5.1604398944423906</c:v>
                </c:pt>
                <c:pt idx="56">
                  <c:v>5.2474829658163875</c:v>
                </c:pt>
                <c:pt idx="57">
                  <c:v>5.3340228023852623</c:v>
                </c:pt>
                <c:pt idx="58">
                  <c:v>5.4200744847927922</c:v>
                </c:pt>
                <c:pt idx="59">
                  <c:v>5.5056522538299753</c:v>
                </c:pt>
                <c:pt idx="60">
                  <c:v>5.5907695792778966</c:v>
                </c:pt>
                <c:pt idx="61">
                  <c:v>5.6754392213459282</c:v>
                </c:pt>
                <c:pt idx="62">
                  <c:v>5.7596732856798836</c:v>
                </c:pt>
                <c:pt idx="63">
                  <c:v>5.8434832727647521</c:v>
                </c:pt>
                <c:pt idx="64">
                  <c:v>5.926880122422844</c:v>
                </c:pt>
                <c:pt idx="65">
                  <c:v>6.0098742540054682</c:v>
                </c:pt>
                <c:pt idx="66">
                  <c:v>6.0924756027906408</c:v>
                </c:pt>
                <c:pt idx="67">
                  <c:v>6.1746936530276342</c:v>
                </c:pt>
                <c:pt idx="68">
                  <c:v>6.2565374680089754</c:v>
                </c:pt>
                <c:pt idx="69">
                  <c:v>6.3380157174995215</c:v>
                </c:pt>
                <c:pt idx="70">
                  <c:v>6.4191367028092783</c:v>
                </c:pt>
                <c:pt idx="71">
                  <c:v>6.4999083797598081</c:v>
                </c:pt>
                <c:pt idx="72">
                  <c:v>6.5803383797628907</c:v>
                </c:pt>
                <c:pt idx="73">
                  <c:v>6.6604340292031985</c:v>
                </c:pt>
                <c:pt idx="74">
                  <c:v>6.7402023672937421</c:v>
                </c:pt>
                <c:pt idx="75">
                  <c:v>6.8196501625529438</c:v>
                </c:pt>
                <c:pt idx="76">
                  <c:v>6.8987839280350522</c:v>
                </c:pt>
                <c:pt idx="77">
                  <c:v>6.97760993543063</c:v>
                </c:pt>
                <c:pt idx="78">
                  <c:v>7.0561342281409294</c:v>
                </c:pt>
                <c:pt idx="79">
                  <c:v>7.1343626334186618</c:v>
                </c:pt>
                <c:pt idx="80">
                  <c:v>7.2123007736577289</c:v>
                </c:pt>
                <c:pt idx="81">
                  <c:v>7.2899540769058362</c:v>
                </c:pt>
                <c:pt idx="82">
                  <c:v>7.3673277866662845</c:v>
                </c:pt>
                <c:pt idx="83">
                  <c:v>7.4444269710484958</c:v>
                </c:pt>
                <c:pt idx="84">
                  <c:v>7.5212565313209341</c:v>
                </c:pt>
                <c:pt idx="85">
                  <c:v>7.5978212099147466</c:v>
                </c:pt>
                <c:pt idx="86">
                  <c:v>7.6741255979219227</c:v>
                </c:pt>
                <c:pt idx="87">
                  <c:v>7.7501741421274861</c:v>
                </c:pt>
                <c:pt idx="88">
                  <c:v>7.8259711516116504</c:v>
                </c:pt>
                <c:pt idx="89">
                  <c:v>7.9015208039545151</c:v>
                </c:pt>
                <c:pt idx="90">
                  <c:v>7.9768271510730058</c:v>
                </c:pt>
                <c:pt idx="91">
                  <c:v>8.0518941247170073</c:v>
                </c:pt>
                <c:pt idx="92">
                  <c:v>8.1267255416494315</c:v>
                </c:pt>
                <c:pt idx="93">
                  <c:v>8.2013251085326946</c:v>
                </c:pt>
                <c:pt idx="94">
                  <c:v>8.2756964265422575</c:v>
                </c:pt>
                <c:pt idx="95">
                  <c:v>8.3498429957261013</c:v>
                </c:pt>
                <c:pt idx="96">
                  <c:v>8.4237682191274885</c:v>
                </c:pt>
                <c:pt idx="97">
                  <c:v>8.4974754066869398</c:v>
                </c:pt>
                <c:pt idx="98">
                  <c:v>8.5709677789380798</c:v>
                </c:pt>
                <c:pt idx="99">
                  <c:v>8.6442484705107994</c:v>
                </c:pt>
                <c:pt idx="100">
                  <c:v>8.7173205334542683</c:v>
                </c:pt>
                <c:pt idx="101">
                  <c:v>8.8628505875138508</c:v>
                </c:pt>
                <c:pt idx="102">
                  <c:v>9.0075808218821223</c:v>
                </c:pt>
                <c:pt idx="103">
                  <c:v>9.1515329822958833</c:v>
                </c:pt>
                <c:pt idx="104">
                  <c:v>9.2947277601081097</c:v>
                </c:pt>
                <c:pt idx="105">
                  <c:v>9.437184865503065</c:v>
                </c:pt>
                <c:pt idx="106">
                  <c:v>9.5789230941196593</c:v>
                </c:pt>
                <c:pt idx="107">
                  <c:v>9.7199603878095537</c:v>
                </c:pt>
                <c:pt idx="108">
                  <c:v>9.8603138901621428</c:v>
                </c:pt>
                <c:pt idx="109">
                  <c:v>9.9999999973481977</c:v>
                </c:pt>
              </c:numCache>
            </c:numRef>
          </c:xVal>
          <c:yVal>
            <c:numRef>
              <c:f>'c'!$N$278:$N$387</c:f>
              <c:numCache>
                <c:formatCode>General</c:formatCode>
                <c:ptCount val="110"/>
                <c:pt idx="0">
                  <c:v>1.2338953258051881E-10</c:v>
                </c:pt>
                <c:pt idx="1">
                  <c:v>4.3718141738194607E-10</c:v>
                </c:pt>
                <c:pt idx="2">
                  <c:v>9.0416810170687262E-10</c:v>
                </c:pt>
                <c:pt idx="3">
                  <c:v>1.5040755402847718E-9</c:v>
                </c:pt>
                <c:pt idx="4">
                  <c:v>2.2230427981943394E-9</c:v>
                </c:pt>
                <c:pt idx="5">
                  <c:v>3.0506933397278447E-9</c:v>
                </c:pt>
                <c:pt idx="6">
                  <c:v>3.9788397980301784E-9</c:v>
                </c:pt>
                <c:pt idx="7">
                  <c:v>5.0007923670393106E-9</c:v>
                </c:pt>
                <c:pt idx="8">
                  <c:v>6.1109457322553457E-9</c:v>
                </c:pt>
                <c:pt idx="9">
                  <c:v>7.3045129289608201E-9</c:v>
                </c:pt>
                <c:pt idx="10">
                  <c:v>8.1125073862167554E-9</c:v>
                </c:pt>
                <c:pt idx="11">
                  <c:v>2.557761090219622E-8</c:v>
                </c:pt>
                <c:pt idx="12">
                  <c:v>4.9222463786510578E-8</c:v>
                </c:pt>
                <c:pt idx="13">
                  <c:v>7.7788868388052587E-8</c:v>
                </c:pt>
                <c:pt idx="14">
                  <c:v>1.1057204511177577E-7</c:v>
                </c:pt>
                <c:pt idx="15">
                  <c:v>1.4712244583712424E-7</c:v>
                </c:pt>
                <c:pt idx="16">
                  <c:v>1.8713171583921812E-7</c:v>
                </c:pt>
                <c:pt idx="17">
                  <c:v>2.3037836049789246E-7</c:v>
                </c:pt>
                <c:pt idx="18">
                  <c:v>2.766982625412102E-7</c:v>
                </c:pt>
                <c:pt idx="19">
                  <c:v>3.259672128258595E-7</c:v>
                </c:pt>
                <c:pt idx="20">
                  <c:v>9.6757946858570265E-7</c:v>
                </c:pt>
                <c:pt idx="21">
                  <c:v>1.8689899440027636E-6</c:v>
                </c:pt>
                <c:pt idx="22">
                  <c:v>3.0383557774552815E-6</c:v>
                </c:pt>
                <c:pt idx="23">
                  <c:v>4.4951934310927198E-6</c:v>
                </c:pt>
                <c:pt idx="24">
                  <c:v>6.2633766524939435E-6</c:v>
                </c:pt>
                <c:pt idx="25">
                  <c:v>8.3690220870723502E-6</c:v>
                </c:pt>
                <c:pt idx="26">
                  <c:v>1.0839628678422078E-5</c:v>
                </c:pt>
                <c:pt idx="27">
                  <c:v>1.3703659217482213E-5</c:v>
                </c:pt>
                <c:pt idx="28">
                  <c:v>1.699031022514771E-5</c:v>
                </c:pt>
                <c:pt idx="29">
                  <c:v>2.072937306554706E-5</c:v>
                </c:pt>
                <c:pt idx="30">
                  <c:v>2.4951143645684857E-5</c:v>
                </c:pt>
                <c:pt idx="31">
                  <c:v>2.9686359975061549E-5</c:v>
                </c:pt>
                <c:pt idx="32">
                  <c:v>3.4966156691987941E-5</c:v>
                </c:pt>
                <c:pt idx="33">
                  <c:v>4.082203046104695E-5</c:v>
                </c:pt>
                <c:pt idx="34">
                  <c:v>4.7285812649399093E-5</c:v>
                </c:pt>
                <c:pt idx="35">
                  <c:v>5.4389647069631171E-5</c:v>
                </c:pt>
                <c:pt idx="36">
                  <c:v>6.2165971373556947E-5</c:v>
                </c:pt>
                <c:pt idx="37">
                  <c:v>7.0647501160031988E-5</c:v>
                </c:pt>
                <c:pt idx="38">
                  <c:v>7.9867216157392129E-5</c:v>
                </c:pt>
                <c:pt idx="39">
                  <c:v>8.9858348031980953E-5</c:v>
                </c:pt>
                <c:pt idx="40">
                  <c:v>1.006543694999777E-4</c:v>
                </c:pt>
                <c:pt idx="41">
                  <c:v>1.1228898450473905E-4</c:v>
                </c:pt>
                <c:pt idx="42">
                  <c:v>1.2479611928064533E-4</c:v>
                </c:pt>
                <c:pt idx="43">
                  <c:v>1.3820991416597835E-4</c:v>
                </c:pt>
                <c:pt idx="44">
                  <c:v>1.5256471605725266E-4</c:v>
                </c:pt>
                <c:pt idx="45">
                  <c:v>1.6789507141945091E-4</c:v>
                </c:pt>
                <c:pt idx="46">
                  <c:v>1.8423571978296081E-4</c:v>
                </c:pt>
                <c:pt idx="47">
                  <c:v>2.0162158767053531E-4</c:v>
                </c:pt>
                <c:pt idx="48">
                  <c:v>2.200877829071681E-4</c:v>
                </c:pt>
                <c:pt idx="49">
                  <c:v>2.39669589273338E-4</c:v>
                </c:pt>
                <c:pt idx="50">
                  <c:v>2.6040246146796894E-4</c:v>
                </c:pt>
                <c:pt idx="51">
                  <c:v>2.8232202035237712E-4</c:v>
                </c:pt>
                <c:pt idx="52">
                  <c:v>3.0546404845018524E-4</c:v>
                </c:pt>
                <c:pt idx="53">
                  <c:v>3.2986448568153186E-4</c:v>
                </c:pt>
                <c:pt idx="54">
                  <c:v>3.555594253125427E-4</c:v>
                </c:pt>
                <c:pt idx="55">
                  <c:v>3.8258511010308475E-4</c:v>
                </c:pt>
                <c:pt idx="56">
                  <c:v>4.1097792863799878E-4</c:v>
                </c:pt>
                <c:pt idx="57">
                  <c:v>4.4077441182831999E-4</c:v>
                </c:pt>
                <c:pt idx="58">
                  <c:v>4.7201122957053E-4</c:v>
                </c:pt>
                <c:pt idx="59">
                  <c:v>5.0472518755300918E-4</c:v>
                </c:pt>
                <c:pt idx="60">
                  <c:v>5.3895322419993986E-4</c:v>
                </c:pt>
                <c:pt idx="61">
                  <c:v>5.7473240774377754E-4</c:v>
                </c:pt>
                <c:pt idx="62">
                  <c:v>6.1209993341812216E-4</c:v>
                </c:pt>
                <c:pt idx="63">
                  <c:v>6.5109312076371245E-4</c:v>
                </c:pt>
                <c:pt idx="64">
                  <c:v>6.9174941104070415E-4</c:v>
                </c:pt>
                <c:pt idx="65">
                  <c:v>7.3410636474098903E-4</c:v>
                </c:pt>
                <c:pt idx="66">
                  <c:v>7.7820165919495585E-4</c:v>
                </c:pt>
                <c:pt idx="67">
                  <c:v>8.240730862671959E-4</c:v>
                </c:pt>
                <c:pt idx="68">
                  <c:v>8.7175855013656275E-4</c:v>
                </c:pt>
                <c:pt idx="69">
                  <c:v>9.2129606515569719E-4</c:v>
                </c:pt>
                <c:pt idx="70">
                  <c:v>9.7272375378623242E-4</c:v>
                </c:pt>
                <c:pt idx="71">
                  <c:v>1.0260798446053369E-3</c:v>
                </c:pt>
                <c:pt idx="72">
                  <c:v>1.0814026703804536E-3</c:v>
                </c:pt>
                <c:pt idx="73">
                  <c:v>1.1387306662083857E-3</c:v>
                </c:pt>
                <c:pt idx="74">
                  <c:v>1.1981023677158085E-3</c:v>
                </c:pt>
                <c:pt idx="75">
                  <c:v>1.259556409318272E-3</c:v>
                </c:pt>
                <c:pt idx="76">
                  <c:v>1.3231315225348554E-3</c:v>
                </c:pt>
                <c:pt idx="77">
                  <c:v>1.3888665343558628E-3</c:v>
                </c:pt>
                <c:pt idx="78">
                  <c:v>1.4568003656611358E-3</c:v>
                </c:pt>
                <c:pt idx="79">
                  <c:v>1.5269720296868055E-3</c:v>
                </c:pt>
                <c:pt idx="80">
                  <c:v>1.5994206305381307E-3</c:v>
                </c:pt>
                <c:pt idx="81">
                  <c:v>1.6741853617465731E-3</c:v>
                </c:pt>
                <c:pt idx="82">
                  <c:v>1.7513055048692728E-3</c:v>
                </c:pt>
                <c:pt idx="83">
                  <c:v>1.8308204281286293E-3</c:v>
                </c:pt>
                <c:pt idx="84">
                  <c:v>1.9127695850910892E-3</c:v>
                </c:pt>
                <c:pt idx="85">
                  <c:v>1.9971925133828328E-3</c:v>
                </c:pt>
                <c:pt idx="86">
                  <c:v>2.084128833441144E-3</c:v>
                </c:pt>
                <c:pt idx="87">
                  <c:v>2.1736182473001166E-3</c:v>
                </c:pt>
                <c:pt idx="88">
                  <c:v>2.2657005374090689E-3</c:v>
                </c:pt>
                <c:pt idx="89">
                  <c:v>2.3604155654826384E-3</c:v>
                </c:pt>
                <c:pt idx="90">
                  <c:v>2.4578032713811339E-3</c:v>
                </c:pt>
                <c:pt idx="91">
                  <c:v>2.5579036720201564E-3</c:v>
                </c:pt>
                <c:pt idx="92">
                  <c:v>2.6607568603082095E-3</c:v>
                </c:pt>
                <c:pt idx="93">
                  <c:v>2.766403004111431E-3</c:v>
                </c:pt>
                <c:pt idx="94">
                  <c:v>2.8748823452444047E-3</c:v>
                </c:pt>
                <c:pt idx="95">
                  <c:v>2.9862351984856648E-3</c:v>
                </c:pt>
                <c:pt idx="96">
                  <c:v>3.1005019506181626E-3</c:v>
                </c:pt>
                <c:pt idx="97">
                  <c:v>3.2177230594922068E-3</c:v>
                </c:pt>
                <c:pt idx="98">
                  <c:v>3.3379390531115172E-3</c:v>
                </c:pt>
                <c:pt idx="99">
                  <c:v>3.4611905287406154E-3</c:v>
                </c:pt>
                <c:pt idx="100">
                  <c:v>3.5875181520334224E-3</c:v>
                </c:pt>
                <c:pt idx="101">
                  <c:v>3.8495648410856132E-3</c:v>
                </c:pt>
                <c:pt idx="102">
                  <c:v>4.1244057814261636E-3</c:v>
                </c:pt>
                <c:pt idx="103">
                  <c:v>4.4123686759457072E-3</c:v>
                </c:pt>
                <c:pt idx="104">
                  <c:v>4.7137822446779668E-3</c:v>
                </c:pt>
                <c:pt idx="105">
                  <c:v>5.0289762012736125E-3</c:v>
                </c:pt>
                <c:pt idx="106">
                  <c:v>5.3582812304695804E-3</c:v>
                </c:pt>
                <c:pt idx="107">
                  <c:v>5.702028966496079E-3</c:v>
                </c:pt>
                <c:pt idx="108">
                  <c:v>6.0605519723629878E-3</c:v>
                </c:pt>
                <c:pt idx="109">
                  <c:v>6.4341837199757652E-3</c:v>
                </c:pt>
              </c:numCache>
            </c:numRef>
          </c:yVal>
          <c:smooth val="0"/>
          <c:extLst>
            <c:ext xmlns:c16="http://schemas.microsoft.com/office/drawing/2014/chart" uri="{C3380CC4-5D6E-409C-BE32-E72D297353CC}">
              <c16:uniqueId val="{00000000-A25F-46D0-8E5F-C89D02671642}"/>
            </c:ext>
          </c:extLst>
        </c:ser>
        <c:ser>
          <c:idx val="27"/>
          <c:order val="27"/>
          <c:tx>
            <c:v>Eq. (17) IL</c:v>
          </c:tx>
          <c:spPr>
            <a:ln w="22225" cap="rnd">
              <a:solidFill>
                <a:schemeClr val="accent6"/>
              </a:solidFill>
              <a:prstDash val="dash"/>
              <a:round/>
            </a:ln>
            <a:effectLst/>
          </c:spPr>
          <c:marker>
            <c:symbol val="none"/>
          </c:marker>
          <c:xVal>
            <c:numRef>
              <c:f>'c'!$F$278:$F$387</c:f>
              <c:numCache>
                <c:formatCode>General</c:formatCode>
                <c:ptCount val="110"/>
                <c:pt idx="0">
                  <c:v>0.33267829875372046</c:v>
                </c:pt>
                <c:pt idx="1">
                  <c:v>0.39575656446617141</c:v>
                </c:pt>
                <c:pt idx="2">
                  <c:v>0.4381239752610987</c:v>
                </c:pt>
                <c:pt idx="3">
                  <c:v>0.47095314585805481</c:v>
                </c:pt>
                <c:pt idx="4">
                  <c:v>0.49813966592157205</c:v>
                </c:pt>
                <c:pt idx="5">
                  <c:v>0.52154559001759349</c:v>
                </c:pt>
                <c:pt idx="6">
                  <c:v>0.54221900665800793</c:v>
                </c:pt>
                <c:pt idx="7">
                  <c:v>0.56081343243821846</c:v>
                </c:pt>
                <c:pt idx="8">
                  <c:v>0.57776621465058287</c:v>
                </c:pt>
                <c:pt idx="9">
                  <c:v>0.59338565253686926</c:v>
                </c:pt>
                <c:pt idx="10">
                  <c:v>0.60281476301413028</c:v>
                </c:pt>
                <c:pt idx="11">
                  <c:v>0.71942354220977323</c:v>
                </c:pt>
                <c:pt idx="12">
                  <c:v>0.79899102696837254</c:v>
                </c:pt>
                <c:pt idx="13">
                  <c:v>0.8615932124770711</c:v>
                </c:pt>
                <c:pt idx="14">
                  <c:v>0.91421167354847854</c:v>
                </c:pt>
                <c:pt idx="15">
                  <c:v>0.96017509786639244</c:v>
                </c:pt>
                <c:pt idx="16">
                  <c:v>1.0013523954863526</c:v>
                </c:pt>
                <c:pt idx="17">
                  <c:v>1.0389059681607336</c:v>
                </c:pt>
                <c:pt idx="18">
                  <c:v>1.0736117603431587</c:v>
                </c:pt>
                <c:pt idx="19">
                  <c:v>1.1060153724490303</c:v>
                </c:pt>
                <c:pt idx="20">
                  <c:v>1.3593114846545298</c:v>
                </c:pt>
                <c:pt idx="21">
                  <c:v>1.5519544609164551</c:v>
                </c:pt>
                <c:pt idx="22">
                  <c:v>1.7177124856520969</c:v>
                </c:pt>
                <c:pt idx="23">
                  <c:v>1.8679819295741455</c:v>
                </c:pt>
                <c:pt idx="24">
                  <c:v>2.0080465492169632</c:v>
                </c:pt>
                <c:pt idx="25">
                  <c:v>2.1407975034095226</c:v>
                </c:pt>
                <c:pt idx="26">
                  <c:v>2.2679919604819596</c:v>
                </c:pt>
                <c:pt idx="27">
                  <c:v>2.3907796003245791</c:v>
                </c:pt>
                <c:pt idx="28">
                  <c:v>2.5099553283107761</c:v>
                </c:pt>
                <c:pt idx="29">
                  <c:v>2.626093014352795</c:v>
                </c:pt>
                <c:pt idx="30">
                  <c:v>2.7396216640525002</c:v>
                </c:pt>
                <c:pt idx="31">
                  <c:v>2.8508713737224554</c:v>
                </c:pt>
                <c:pt idx="32">
                  <c:v>2.9601023770646941</c:v>
                </c:pt>
                <c:pt idx="33">
                  <c:v>3.0675241265171453</c:v>
                </c:pt>
                <c:pt idx="34">
                  <c:v>3.1733082431755895</c:v>
                </c:pt>
                <c:pt idx="35">
                  <c:v>3.2775975546217837</c:v>
                </c:pt>
                <c:pt idx="36">
                  <c:v>3.3805125576606585</c:v>
                </c:pt>
                <c:pt idx="37">
                  <c:v>3.4821561394951028</c:v>
                </c:pt>
                <c:pt idx="38">
                  <c:v>3.5826170926931469</c:v>
                </c:pt>
                <c:pt idx="39">
                  <c:v>3.6819727769082746</c:v>
                </c:pt>
                <c:pt idx="40">
                  <c:v>3.7802911655237672</c:v>
                </c:pt>
                <c:pt idx="41">
                  <c:v>3.8776324413028918</c:v>
                </c:pt>
                <c:pt idx="42">
                  <c:v>3.9740502562164406</c:v>
                </c:pt>
                <c:pt idx="43">
                  <c:v>4.0695927376681276</c:v>
                </c:pt>
                <c:pt idx="44">
                  <c:v>4.1643033007270569</c:v>
                </c:pt>
                <c:pt idx="45">
                  <c:v>4.2582213101981523</c:v>
                </c:pt>
                <c:pt idx="46">
                  <c:v>4.3513826251808867</c:v>
                </c:pt>
                <c:pt idx="47">
                  <c:v>4.44382005073171</c:v>
                </c:pt>
                <c:pt idx="48">
                  <c:v>4.535563715395309</c:v>
                </c:pt>
                <c:pt idx="49">
                  <c:v>4.6266413890586833</c:v>
                </c:pt>
                <c:pt idx="50">
                  <c:v>4.7170787523691358</c:v>
                </c:pt>
                <c:pt idx="51">
                  <c:v>4.8068996265376835</c:v>
                </c:pt>
                <c:pt idx="52">
                  <c:v>4.896126170509346</c:v>
                </c:pt>
                <c:pt idx="53">
                  <c:v>4.9847790510694718</c:v>
                </c:pt>
                <c:pt idx="54">
                  <c:v>5.0728775903620189</c:v>
                </c:pt>
                <c:pt idx="55">
                  <c:v>5.1604398944423906</c:v>
                </c:pt>
                <c:pt idx="56">
                  <c:v>5.2474829658163875</c:v>
                </c:pt>
                <c:pt idx="57">
                  <c:v>5.3340228023852623</c:v>
                </c:pt>
                <c:pt idx="58">
                  <c:v>5.4200744847927922</c:v>
                </c:pt>
                <c:pt idx="59">
                  <c:v>5.5056522538299753</c:v>
                </c:pt>
                <c:pt idx="60">
                  <c:v>5.5907695792778966</c:v>
                </c:pt>
                <c:pt idx="61">
                  <c:v>5.6754392213459282</c:v>
                </c:pt>
                <c:pt idx="62">
                  <c:v>5.7596732856798836</c:v>
                </c:pt>
                <c:pt idx="63">
                  <c:v>5.8434832727647521</c:v>
                </c:pt>
                <c:pt idx="64">
                  <c:v>5.926880122422844</c:v>
                </c:pt>
                <c:pt idx="65">
                  <c:v>6.0098742540054682</c:v>
                </c:pt>
                <c:pt idx="66">
                  <c:v>6.0924756027906408</c:v>
                </c:pt>
                <c:pt idx="67">
                  <c:v>6.1746936530276342</c:v>
                </c:pt>
                <c:pt idx="68">
                  <c:v>6.2565374680089754</c:v>
                </c:pt>
                <c:pt idx="69">
                  <c:v>6.3380157174995215</c:v>
                </c:pt>
                <c:pt idx="70">
                  <c:v>6.4191367028092783</c:v>
                </c:pt>
                <c:pt idx="71">
                  <c:v>6.4999083797598081</c:v>
                </c:pt>
                <c:pt idx="72">
                  <c:v>6.5803383797628907</c:v>
                </c:pt>
                <c:pt idx="73">
                  <c:v>6.6604340292031985</c:v>
                </c:pt>
                <c:pt idx="74">
                  <c:v>6.7402023672937421</c:v>
                </c:pt>
                <c:pt idx="75">
                  <c:v>6.8196501625529438</c:v>
                </c:pt>
                <c:pt idx="76">
                  <c:v>6.8987839280350522</c:v>
                </c:pt>
                <c:pt idx="77">
                  <c:v>6.97760993543063</c:v>
                </c:pt>
                <c:pt idx="78">
                  <c:v>7.0561342281409294</c:v>
                </c:pt>
                <c:pt idx="79">
                  <c:v>7.1343626334186618</c:v>
                </c:pt>
                <c:pt idx="80">
                  <c:v>7.2123007736577289</c:v>
                </c:pt>
                <c:pt idx="81">
                  <c:v>7.2899540769058362</c:v>
                </c:pt>
                <c:pt idx="82">
                  <c:v>7.3673277866662845</c:v>
                </c:pt>
                <c:pt idx="83">
                  <c:v>7.4444269710484958</c:v>
                </c:pt>
                <c:pt idx="84">
                  <c:v>7.5212565313209341</c:v>
                </c:pt>
                <c:pt idx="85">
                  <c:v>7.5978212099147466</c:v>
                </c:pt>
                <c:pt idx="86">
                  <c:v>7.6741255979219227</c:v>
                </c:pt>
                <c:pt idx="87">
                  <c:v>7.7501741421274861</c:v>
                </c:pt>
                <c:pt idx="88">
                  <c:v>7.8259711516116504</c:v>
                </c:pt>
                <c:pt idx="89">
                  <c:v>7.9015208039545151</c:v>
                </c:pt>
                <c:pt idx="90">
                  <c:v>7.9768271510730058</c:v>
                </c:pt>
                <c:pt idx="91">
                  <c:v>8.0518941247170073</c:v>
                </c:pt>
                <c:pt idx="92">
                  <c:v>8.1267255416494315</c:v>
                </c:pt>
                <c:pt idx="93">
                  <c:v>8.2013251085326946</c:v>
                </c:pt>
                <c:pt idx="94">
                  <c:v>8.2756964265422575</c:v>
                </c:pt>
                <c:pt idx="95">
                  <c:v>8.3498429957261013</c:v>
                </c:pt>
                <c:pt idx="96">
                  <c:v>8.4237682191274885</c:v>
                </c:pt>
                <c:pt idx="97">
                  <c:v>8.4974754066869398</c:v>
                </c:pt>
                <c:pt idx="98">
                  <c:v>8.5709677789380798</c:v>
                </c:pt>
                <c:pt idx="99">
                  <c:v>8.6442484705107994</c:v>
                </c:pt>
                <c:pt idx="100">
                  <c:v>8.7173205334542683</c:v>
                </c:pt>
                <c:pt idx="101">
                  <c:v>8.8628505875138508</c:v>
                </c:pt>
                <c:pt idx="102">
                  <c:v>9.0075808218821223</c:v>
                </c:pt>
                <c:pt idx="103">
                  <c:v>9.1515329822958833</c:v>
                </c:pt>
                <c:pt idx="104">
                  <c:v>9.2947277601081097</c:v>
                </c:pt>
                <c:pt idx="105">
                  <c:v>9.437184865503065</c:v>
                </c:pt>
                <c:pt idx="106">
                  <c:v>9.5789230941196593</c:v>
                </c:pt>
                <c:pt idx="107">
                  <c:v>9.7199603878095537</c:v>
                </c:pt>
                <c:pt idx="108">
                  <c:v>9.8603138901621428</c:v>
                </c:pt>
                <c:pt idx="109">
                  <c:v>9.9999999973481977</c:v>
                </c:pt>
              </c:numCache>
            </c:numRef>
          </c:xVal>
          <c:yVal>
            <c:numRef>
              <c:f>'c'!$O$278:$O$387</c:f>
              <c:numCache>
                <c:formatCode>General</c:formatCode>
                <c:ptCount val="110"/>
                <c:pt idx="0">
                  <c:v>2.9073610141257933E-11</c:v>
                </c:pt>
                <c:pt idx="1">
                  <c:v>9.9983717886847031E-11</c:v>
                </c:pt>
                <c:pt idx="2">
                  <c:v>2.033217757597405E-10</c:v>
                </c:pt>
                <c:pt idx="3">
                  <c:v>3.3430298443063818E-10</c:v>
                </c:pt>
                <c:pt idx="4">
                  <c:v>4.8976090807541375E-10</c:v>
                </c:pt>
                <c:pt idx="5">
                  <c:v>6.673772429048529E-10</c:v>
                </c:pt>
                <c:pt idx="6">
                  <c:v>8.6535359093313757E-10</c:v>
                </c:pt>
                <c:pt idx="7">
                  <c:v>1.0822406072337602E-9</c:v>
                </c:pt>
                <c:pt idx="8">
                  <c:v>1.3168379265902545E-9</c:v>
                </c:pt>
                <c:pt idx="9">
                  <c:v>1.5681306959836511E-9</c:v>
                </c:pt>
                <c:pt idx="10">
                  <c:v>1.7377893308929704E-9</c:v>
                </c:pt>
                <c:pt idx="11">
                  <c:v>5.3585925375397774E-9</c:v>
                </c:pt>
                <c:pt idx="12">
                  <c:v>1.0203366529304235E-8</c:v>
                </c:pt>
                <c:pt idx="13">
                  <c:v>1.6027499756633662E-8</c:v>
                </c:pt>
                <c:pt idx="14">
                  <c:v>2.2698959422986751E-8</c:v>
                </c:pt>
                <c:pt idx="15">
                  <c:v>3.0136160033870688E-8</c:v>
                </c:pt>
                <c:pt idx="16">
                  <c:v>3.8284856238405022E-8</c:v>
                </c:pt>
                <c:pt idx="17">
                  <c:v>4.7107351792835149E-8</c:v>
                </c:pt>
                <c:pt idx="18">
                  <c:v>5.6576737061621564E-8</c:v>
                </c:pt>
                <c:pt idx="19">
                  <c:v>6.6673520411830209E-8</c:v>
                </c:pt>
                <c:pt idx="20">
                  <c:v>2.0042552724859689E-7</c:v>
                </c:pt>
                <c:pt idx="21">
                  <c:v>3.9391606299578848E-7</c:v>
                </c:pt>
                <c:pt idx="22">
                  <c:v>6.5158864078354869E-7</c:v>
                </c:pt>
                <c:pt idx="23">
                  <c:v>9.7998342872802647E-7</c:v>
                </c:pt>
                <c:pt idx="24">
                  <c:v>1.38654076540805E-6</c:v>
                </c:pt>
                <c:pt idx="25">
                  <c:v>1.879243367371388E-6</c:v>
                </c:pt>
                <c:pt idx="26">
                  <c:v>2.4664677611101484E-6</c:v>
                </c:pt>
                <c:pt idx="27">
                  <c:v>3.1569088096671298E-6</c:v>
                </c:pt>
                <c:pt idx="28">
                  <c:v>3.9595355356678675E-6</c:v>
                </c:pt>
                <c:pt idx="29">
                  <c:v>4.8835623718958603E-6</c:v>
                </c:pt>
                <c:pt idx="30">
                  <c:v>5.938428860690878E-6</c:v>
                </c:pt>
                <c:pt idx="31">
                  <c:v>7.1337843792600853E-6</c:v>
                </c:pt>
                <c:pt idx="32">
                  <c:v>8.4794760634200063E-6</c:v>
                </c:pt>
                <c:pt idx="33">
                  <c:v>9.9855388850765191E-6</c:v>
                </c:pt>
                <c:pt idx="34">
                  <c:v>1.1662187251397842E-5</c:v>
                </c:pt>
                <c:pt idx="35">
                  <c:v>1.3519807724383809E-5</c:v>
                </c:pt>
                <c:pt idx="36">
                  <c:v>1.5568952595149606E-5</c:v>
                </c:pt>
                <c:pt idx="37">
                  <c:v>1.7820334130411804E-5</c:v>
                </c:pt>
                <c:pt idx="38">
                  <c:v>2.0284819361601819E-5</c:v>
                </c:pt>
                <c:pt idx="39">
                  <c:v>2.2973425321871074E-5</c:v>
                </c:pt>
                <c:pt idx="40">
                  <c:v>2.5897314659850167E-5</c:v>
                </c:pt>
                <c:pt idx="41">
                  <c:v>2.9067791575470615E-5</c:v>
                </c:pt>
                <c:pt idx="42">
                  <c:v>3.2496298034874654E-5</c:v>
                </c:pt>
                <c:pt idx="43">
                  <c:v>3.619441023000246E-5</c:v>
                </c:pt>
                <c:pt idx="44">
                  <c:v>4.0173835254825994E-5</c:v>
                </c:pt>
                <c:pt idx="45">
                  <c:v>4.4446407975040809E-5</c:v>
                </c:pt>
                <c:pt idx="46">
                  <c:v>4.9024088071768171E-5</c:v>
                </c:pt>
                <c:pt idx="47">
                  <c:v>5.3918957242774299E-5</c:v>
                </c:pt>
                <c:pt idx="48">
                  <c:v>5.9143216547049795E-5</c:v>
                </c:pt>
                <c:pt idx="49">
                  <c:v>6.470918388050401E-5</c:v>
                </c:pt>
                <c:pt idx="50">
                  <c:v>7.0629291572058372E-5</c:v>
                </c:pt>
                <c:pt idx="51">
                  <c:v>7.6916084090751716E-5</c:v>
                </c:pt>
                <c:pt idx="52">
                  <c:v>8.3582215855500575E-5</c:v>
                </c:pt>
                <c:pt idx="53">
                  <c:v>9.064044914011197E-5</c:v>
                </c:pt>
                <c:pt idx="54">
                  <c:v>9.8103652066880464E-5</c:v>
                </c:pt>
                <c:pt idx="55">
                  <c:v>1.0598479668281787E-4</c:v>
                </c:pt>
                <c:pt idx="56">
                  <c:v>1.142969571130729E-4</c:v>
                </c:pt>
                <c:pt idx="57">
                  <c:v>1.2305330778668194E-4</c:v>
                </c:pt>
                <c:pt idx="58">
                  <c:v>1.3226712173015508E-4</c:v>
                </c:pt>
                <c:pt idx="59">
                  <c:v>1.4195176892484136E-4</c:v>
                </c:pt>
                <c:pt idx="60">
                  <c:v>1.5212071472433061E-4</c:v>
                </c:pt>
                <c:pt idx="61">
                  <c:v>1.6278751832848101E-4</c:v>
                </c:pt>
                <c:pt idx="62">
                  <c:v>1.7396583131088278E-4</c:v>
                </c:pt>
                <c:pt idx="63">
                  <c:v>1.8566939619689686E-4</c:v>
                </c:pt>
                <c:pt idx="64">
                  <c:v>1.9791204508952403E-4</c:v>
                </c:pt>
                <c:pt idx="65">
                  <c:v>2.1070769834064906E-4</c:v>
                </c:pt>
                <c:pt idx="66">
                  <c:v>2.2407036326530118E-4</c:v>
                </c:pt>
                <c:pt idx="67">
                  <c:v>2.3801413289684581E-4</c:v>
                </c:pt>
                <c:pt idx="68">
                  <c:v>2.5255318478100244E-4</c:v>
                </c:pt>
                <c:pt idx="69">
                  <c:v>2.6770177980691123E-4</c:v>
                </c:pt>
                <c:pt idx="70">
                  <c:v>2.8347426107344469E-4</c:v>
                </c:pt>
                <c:pt idx="71">
                  <c:v>2.9988505278912632E-4</c:v>
                </c:pt>
                <c:pt idx="72">
                  <c:v>3.1694865920417031E-4</c:v>
                </c:pt>
                <c:pt idx="73">
                  <c:v>3.3467966357311686E-4</c:v>
                </c:pt>
                <c:pt idx="74">
                  <c:v>3.530927271468339E-4</c:v>
                </c:pt>
                <c:pt idx="75">
                  <c:v>3.7220258819248503E-4</c:v>
                </c:pt>
                <c:pt idx="76">
                  <c:v>3.9202406104034865E-4</c:v>
                </c:pt>
                <c:pt idx="77">
                  <c:v>4.125720351563546E-4</c:v>
                </c:pt>
                <c:pt idx="78">
                  <c:v>4.3386147423924668E-4</c:v>
                </c:pt>
                <c:pt idx="79">
                  <c:v>4.5590741534139449E-4</c:v>
                </c:pt>
                <c:pt idx="80">
                  <c:v>4.7872496801226115E-4</c:v>
                </c:pt>
                <c:pt idx="81">
                  <c:v>5.0232931346371184E-4</c:v>
                </c:pt>
                <c:pt idx="82">
                  <c:v>5.2673570375623001E-4</c:v>
                </c:pt>
                <c:pt idx="83">
                  <c:v>5.5195946100526736E-4</c:v>
                </c:pt>
                <c:pt idx="84">
                  <c:v>5.7801597660701149E-4</c:v>
                </c:pt>
                <c:pt idx="85">
                  <c:v>6.0492071048273406E-4</c:v>
                </c:pt>
                <c:pt idx="86">
                  <c:v>6.3268919034117519E-4</c:v>
                </c:pt>
                <c:pt idx="87">
                  <c:v>6.6133701095817687E-4</c:v>
                </c:pt>
                <c:pt idx="88">
                  <c:v>6.9087983347302924E-4</c:v>
                </c:pt>
                <c:pt idx="89">
                  <c:v>7.2133338470092899E-4</c:v>
                </c:pt>
                <c:pt idx="90">
                  <c:v>7.5271345646094707E-4</c:v>
                </c:pt>
                <c:pt idx="91">
                  <c:v>7.850359049189783E-4</c:v>
                </c:pt>
                <c:pt idx="92">
                  <c:v>8.1831664994521237E-4</c:v>
                </c:pt>
                <c:pt idx="93">
                  <c:v>8.5257167448557242E-4</c:v>
                </c:pt>
                <c:pt idx="94">
                  <c:v>8.8781702394666198E-4</c:v>
                </c:pt>
                <c:pt idx="95">
                  <c:v>9.2406880559391244E-4</c:v>
                </c:pt>
                <c:pt idx="96">
                  <c:v>9.6134318796216669E-4</c:v>
                </c:pt>
                <c:pt idx="97">
                  <c:v>9.9965640027873293E-4</c:v>
                </c:pt>
                <c:pt idx="98">
                  <c:v>1.0390247318982147E-3</c:v>
                </c:pt>
                <c:pt idx="99">
                  <c:v>1.0794645317487319E-3</c:v>
                </c:pt>
                <c:pt idx="100">
                  <c:v>1.1209922077895223E-3</c:v>
                </c:pt>
                <c:pt idx="101">
                  <c:v>1.2073771122535675E-3</c:v>
                </c:pt>
                <c:pt idx="102">
                  <c:v>1.2983118696360189E-3</c:v>
                </c:pt>
                <c:pt idx="103">
                  <c:v>1.3939298158063978E-3</c:v>
                </c:pt>
                <c:pt idx="104">
                  <c:v>1.4943651825654449E-3</c:v>
                </c:pt>
                <c:pt idx="105">
                  <c:v>1.5997530826295243E-3</c:v>
                </c:pt>
                <c:pt idx="106">
                  <c:v>1.7102294951596671E-3</c:v>
                </c:pt>
                <c:pt idx="107">
                  <c:v>1.8259312518052004E-3</c:v>
                </c:pt>
                <c:pt idx="108">
                  <c:v>1.9469960232342924E-3</c:v>
                </c:pt>
                <c:pt idx="109">
                  <c:v>2.0735623061258136E-3</c:v>
                </c:pt>
              </c:numCache>
            </c:numRef>
          </c:yVal>
          <c:smooth val="0"/>
          <c:extLst>
            <c:ext xmlns:c16="http://schemas.microsoft.com/office/drawing/2014/chart" uri="{C3380CC4-5D6E-409C-BE32-E72D297353CC}">
              <c16:uniqueId val="{00000001-A25F-46D0-8E5F-C89D02671642}"/>
            </c:ext>
          </c:extLst>
        </c:ser>
        <c:dLbls>
          <c:showLegendKey val="0"/>
          <c:showVal val="0"/>
          <c:showCatName val="0"/>
          <c:showSerName val="0"/>
          <c:showPercent val="0"/>
          <c:showBubbleSize val="0"/>
        </c:dLbls>
        <c:axId val="624399680"/>
        <c:axId val="624400008"/>
        <c:extLst>
          <c:ext xmlns:c15="http://schemas.microsoft.com/office/drawing/2012/chart" uri="{02D57815-91ED-43cb-92C2-25804820EDAC}">
            <c15:filteredScatterSeries>
              <c15:ser>
                <c:idx val="16"/>
                <c:order val="16"/>
                <c:tx>
                  <c:v>CF, Pipe 3, 48% straked</c:v>
                </c:tx>
                <c:spPr>
                  <a:ln w="25400" cap="rnd">
                    <a:noFill/>
                    <a:round/>
                  </a:ln>
                  <a:effectLst/>
                </c:spPr>
                <c:marker>
                  <c:symbol val="square"/>
                  <c:size val="7"/>
                  <c:spPr>
                    <a:solidFill>
                      <a:srgbClr val="FF0000"/>
                    </a:solidFill>
                    <a:ln w="9525">
                      <a:solidFill>
                        <a:srgbClr val="FF0000"/>
                      </a:solidFill>
                    </a:ln>
                    <a:effectLst/>
                  </c:spPr>
                </c:marker>
                <c:xVal>
                  <c:numRef>
                    <c:extLst>
                      <c:ext uri="{02D57815-91ED-43cb-92C2-25804820EDAC}">
                        <c15:formulaRef>
                          <c15:sqref>m!$FG$136:$FK$136</c15:sqref>
                        </c15:formulaRef>
                      </c:ext>
                    </c:extLst>
                    <c:numCache>
                      <c:formatCode>General</c:formatCode>
                      <c:ptCount val="5"/>
                      <c:pt idx="0">
                        <c:v>0.96048642325127032</c:v>
                      </c:pt>
                      <c:pt idx="1">
                        <c:v>4.1576856582323369</c:v>
                      </c:pt>
                    </c:numCache>
                  </c:numRef>
                </c:xVal>
                <c:yVal>
                  <c:numRef>
                    <c:extLst>
                      <c:ext uri="{02D57815-91ED-43cb-92C2-25804820EDAC}">
                        <c15:formulaRef>
                          <c15:sqref>m!$FG$144:$FK$144</c15:sqref>
                        </c15:formulaRef>
                      </c:ext>
                    </c:extLst>
                    <c:numCache>
                      <c:formatCode>General</c:formatCode>
                      <c:ptCount val="5"/>
                      <c:pt idx="0">
                        <c:v>9.1161515508772583E-8</c:v>
                      </c:pt>
                      <c:pt idx="1">
                        <c:v>2.4228612780127166E-4</c:v>
                      </c:pt>
                    </c:numCache>
                  </c:numRef>
                </c:yVal>
                <c:smooth val="0"/>
                <c:extLst>
                  <c:ext xmlns:c16="http://schemas.microsoft.com/office/drawing/2014/chart" uri="{C3380CC4-5D6E-409C-BE32-E72D297353CC}">
                    <c16:uniqueId val="{00000000-BB56-46EE-A4D5-21C130C98987}"/>
                  </c:ext>
                </c:extLst>
              </c15:ser>
            </c15:filteredScatterSeries>
            <c15:filteredScatterSeries>
              <c15:ser>
                <c:idx val="17"/>
                <c:order val="17"/>
                <c:tx>
                  <c:v>IL, Pipe 3, 48% straked</c:v>
                </c:tx>
                <c:spPr>
                  <a:ln w="25400" cap="rnd">
                    <a:noFill/>
                    <a:round/>
                  </a:ln>
                  <a:effectLst/>
                </c:spPr>
                <c:marker>
                  <c:symbol val="circle"/>
                  <c:size val="7"/>
                  <c:spPr>
                    <a:solidFill>
                      <a:srgbClr val="FF0000"/>
                    </a:solidFill>
                    <a:ln w="9525">
                      <a:solidFill>
                        <a:srgbClr val="FF0000"/>
                      </a:solidFill>
                    </a:ln>
                    <a:effectLst/>
                  </c:spPr>
                </c:marker>
                <c:xVal>
                  <c:numRef>
                    <c:extLst xmlns:c15="http://schemas.microsoft.com/office/drawing/2012/chart">
                      <c:ext xmlns:c15="http://schemas.microsoft.com/office/drawing/2012/chart" uri="{02D57815-91ED-43cb-92C2-25804820EDAC}">
                        <c15:formulaRef>
                          <c15:sqref>m!$FG$136:$FK$136</c15:sqref>
                        </c15:formulaRef>
                      </c:ext>
                    </c:extLst>
                    <c:numCache>
                      <c:formatCode>General</c:formatCode>
                      <c:ptCount val="5"/>
                      <c:pt idx="0">
                        <c:v>0.96048642325127032</c:v>
                      </c:pt>
                      <c:pt idx="1">
                        <c:v>4.1576856582323369</c:v>
                      </c:pt>
                    </c:numCache>
                  </c:numRef>
                </c:xVal>
                <c:yVal>
                  <c:numRef>
                    <c:extLst xmlns:c15="http://schemas.microsoft.com/office/drawing/2012/chart">
                      <c:ext xmlns:c15="http://schemas.microsoft.com/office/drawing/2012/chart" uri="{02D57815-91ED-43cb-92C2-25804820EDAC}">
                        <c15:formulaRef>
                          <c15:sqref>m!$FG$145:$FK$145</c15:sqref>
                        </c15:formulaRef>
                      </c:ext>
                    </c:extLst>
                    <c:numCache>
                      <c:formatCode>General</c:formatCode>
                      <c:ptCount val="5"/>
                      <c:pt idx="0">
                        <c:v>1.350413529163887E-9</c:v>
                      </c:pt>
                      <c:pt idx="1">
                        <c:v>3.1271302032692475E-5</c:v>
                      </c:pt>
                    </c:numCache>
                  </c:numRef>
                </c:yVal>
                <c:smooth val="0"/>
                <c:extLst xmlns:c15="http://schemas.microsoft.com/office/drawing/2012/chart">
                  <c:ext xmlns:c16="http://schemas.microsoft.com/office/drawing/2014/chart" uri="{C3380CC4-5D6E-409C-BE32-E72D297353CC}">
                    <c16:uniqueId val="{00000001-BB56-46EE-A4D5-21C130C98987}"/>
                  </c:ext>
                </c:extLst>
              </c15:ser>
            </c15:filteredScatterSeries>
            <c15:filteredScatterSeries>
              <c15:ser>
                <c:idx val="18"/>
                <c:order val="18"/>
                <c:tx>
                  <c:v>CF, Pipe 3, 75% straked</c:v>
                </c:tx>
                <c:spPr>
                  <a:ln w="25400" cap="rnd">
                    <a:noFill/>
                    <a:round/>
                  </a:ln>
                  <a:effectLst/>
                </c:spPr>
                <c:marker>
                  <c:symbol val="square"/>
                  <c:size val="7"/>
                  <c:spPr>
                    <a:solidFill>
                      <a:srgbClr val="FFC000"/>
                    </a:solidFill>
                    <a:ln w="9525">
                      <a:solidFill>
                        <a:srgbClr val="FFC000"/>
                      </a:solidFill>
                    </a:ln>
                    <a:effectLst/>
                  </c:spPr>
                </c:marker>
                <c:xVal>
                  <c:numRef>
                    <c:extLst xmlns:c15="http://schemas.microsoft.com/office/drawing/2012/chart">
                      <c:ext xmlns:c15="http://schemas.microsoft.com/office/drawing/2012/chart" uri="{02D57815-91ED-43cb-92C2-25804820EDAC}">
                        <c15:formulaRef>
                          <c15:sqref>m!$FB$136:$FF$136</c15:sqref>
                        </c15:formulaRef>
                      </c:ext>
                    </c:extLst>
                    <c:numCache>
                      <c:formatCode>General</c:formatCode>
                      <c:ptCount val="5"/>
                      <c:pt idx="0">
                        <c:v>0.96115497233793457</c:v>
                      </c:pt>
                      <c:pt idx="1">
                        <c:v>4.1565568612314019</c:v>
                      </c:pt>
                    </c:numCache>
                  </c:numRef>
                </c:xVal>
                <c:yVal>
                  <c:numRef>
                    <c:extLst xmlns:c15="http://schemas.microsoft.com/office/drawing/2012/chart">
                      <c:ext xmlns:c15="http://schemas.microsoft.com/office/drawing/2012/chart" uri="{02D57815-91ED-43cb-92C2-25804820EDAC}">
                        <c15:formulaRef>
                          <c15:sqref>m!$FB$144:$FF$144</c15:sqref>
                        </c15:formulaRef>
                      </c:ext>
                    </c:extLst>
                    <c:numCache>
                      <c:formatCode>General</c:formatCode>
                      <c:ptCount val="5"/>
                      <c:pt idx="0">
                        <c:v>5.1963116081403397E-9</c:v>
                      </c:pt>
                      <c:pt idx="1">
                        <c:v>2.3315909363752806E-5</c:v>
                      </c:pt>
                    </c:numCache>
                  </c:numRef>
                </c:yVal>
                <c:smooth val="0"/>
                <c:extLst xmlns:c15="http://schemas.microsoft.com/office/drawing/2012/chart">
                  <c:ext xmlns:c16="http://schemas.microsoft.com/office/drawing/2014/chart" uri="{C3380CC4-5D6E-409C-BE32-E72D297353CC}">
                    <c16:uniqueId val="{00000002-BB56-46EE-A4D5-21C130C98987}"/>
                  </c:ext>
                </c:extLst>
              </c15:ser>
            </c15:filteredScatterSeries>
            <c15:filteredScatterSeries>
              <c15:ser>
                <c:idx val="19"/>
                <c:order val="19"/>
                <c:tx>
                  <c:v>IL, Pipe 3, 75% straked</c:v>
                </c:tx>
                <c:spPr>
                  <a:ln w="25400" cap="rnd">
                    <a:noFill/>
                    <a:round/>
                  </a:ln>
                  <a:effectLst/>
                </c:spPr>
                <c:marker>
                  <c:symbol val="circle"/>
                  <c:size val="7"/>
                  <c:spPr>
                    <a:solidFill>
                      <a:srgbClr val="FFC000"/>
                    </a:solidFill>
                    <a:ln w="9525">
                      <a:solidFill>
                        <a:srgbClr val="FFC000"/>
                      </a:solidFill>
                    </a:ln>
                    <a:effectLst/>
                  </c:spPr>
                </c:marker>
                <c:xVal>
                  <c:numRef>
                    <c:extLst xmlns:c15="http://schemas.microsoft.com/office/drawing/2012/chart">
                      <c:ext xmlns:c15="http://schemas.microsoft.com/office/drawing/2012/chart" uri="{02D57815-91ED-43cb-92C2-25804820EDAC}">
                        <c15:formulaRef>
                          <c15:sqref>m!$FB$136:$FF$136</c15:sqref>
                        </c15:formulaRef>
                      </c:ext>
                    </c:extLst>
                    <c:numCache>
                      <c:formatCode>General</c:formatCode>
                      <c:ptCount val="5"/>
                      <c:pt idx="0">
                        <c:v>0.96115497233793457</c:v>
                      </c:pt>
                      <c:pt idx="1">
                        <c:v>4.1565568612314019</c:v>
                      </c:pt>
                    </c:numCache>
                  </c:numRef>
                </c:xVal>
                <c:yVal>
                  <c:numRef>
                    <c:extLst xmlns:c15="http://schemas.microsoft.com/office/drawing/2012/chart">
                      <c:ext xmlns:c15="http://schemas.microsoft.com/office/drawing/2012/chart" uri="{02D57815-91ED-43cb-92C2-25804820EDAC}">
                        <c15:formulaRef>
                          <c15:sqref>m!$FB$145:$FF$145</c15:sqref>
                        </c15:formulaRef>
                      </c:ext>
                    </c:extLst>
                    <c:numCache>
                      <c:formatCode>General</c:formatCode>
                      <c:ptCount val="5"/>
                      <c:pt idx="0">
                        <c:v>8.208446219430382E-10</c:v>
                      </c:pt>
                      <c:pt idx="1">
                        <c:v>2.9085125566320836E-7</c:v>
                      </c:pt>
                    </c:numCache>
                  </c:numRef>
                </c:yVal>
                <c:smooth val="0"/>
                <c:extLst xmlns:c15="http://schemas.microsoft.com/office/drawing/2012/chart">
                  <c:ext xmlns:c16="http://schemas.microsoft.com/office/drawing/2014/chart" uri="{C3380CC4-5D6E-409C-BE32-E72D297353CC}">
                    <c16:uniqueId val="{00000003-BB56-46EE-A4D5-21C130C98987}"/>
                  </c:ext>
                </c:extLst>
              </c15:ser>
            </c15:filteredScatterSeries>
            <c15:filteredScatterSeries>
              <c15:ser>
                <c:idx val="20"/>
                <c:order val="20"/>
                <c:tx>
                  <c:v>CF, Pipe 3, 85% straked</c:v>
                </c:tx>
                <c:spPr>
                  <a:ln w="25400" cap="rnd">
                    <a:noFill/>
                    <a:round/>
                  </a:ln>
                  <a:effectLst/>
                </c:spPr>
                <c:marker>
                  <c:symbol val="square"/>
                  <c:size val="7"/>
                  <c:spPr>
                    <a:solidFill>
                      <a:srgbClr val="00B050"/>
                    </a:solidFill>
                    <a:ln w="9525">
                      <a:solidFill>
                        <a:srgbClr val="00B050"/>
                      </a:solidFill>
                    </a:ln>
                    <a:effectLst/>
                  </c:spPr>
                </c:marker>
                <c:xVal>
                  <c:numRef>
                    <c:extLst xmlns:c15="http://schemas.microsoft.com/office/drawing/2012/chart">
                      <c:ext xmlns:c15="http://schemas.microsoft.com/office/drawing/2012/chart" uri="{02D57815-91ED-43cb-92C2-25804820EDAC}">
                        <c15:formulaRef>
                          <c15:sqref>m!$EW$136:$FA$136</c15:sqref>
                        </c15:formulaRef>
                      </c:ext>
                    </c:extLst>
                    <c:numCache>
                      <c:formatCode>General</c:formatCode>
                      <c:ptCount val="5"/>
                      <c:pt idx="0">
                        <c:v>1.275990699224635</c:v>
                      </c:pt>
                      <c:pt idx="1">
                        <c:v>4.2191067315113493</c:v>
                      </c:pt>
                    </c:numCache>
                  </c:numRef>
                </c:xVal>
                <c:yVal>
                  <c:numRef>
                    <c:extLst xmlns:c15="http://schemas.microsoft.com/office/drawing/2012/chart">
                      <c:ext xmlns:c15="http://schemas.microsoft.com/office/drawing/2012/chart" uri="{02D57815-91ED-43cb-92C2-25804820EDAC}">
                        <c15:formulaRef>
                          <c15:sqref>m!$EW$144:$FA$144</c15:sqref>
                        </c15:formulaRef>
                      </c:ext>
                    </c:extLst>
                    <c:numCache>
                      <c:formatCode>General</c:formatCode>
                      <c:ptCount val="5"/>
                      <c:pt idx="0">
                        <c:v>4.1380959611613444E-9</c:v>
                      </c:pt>
                      <c:pt idx="1">
                        <c:v>6.8556960655948825E-7</c:v>
                      </c:pt>
                    </c:numCache>
                  </c:numRef>
                </c:yVal>
                <c:smooth val="0"/>
                <c:extLst xmlns:c15="http://schemas.microsoft.com/office/drawing/2012/chart">
                  <c:ext xmlns:c16="http://schemas.microsoft.com/office/drawing/2014/chart" uri="{C3380CC4-5D6E-409C-BE32-E72D297353CC}">
                    <c16:uniqueId val="{00000004-BB56-46EE-A4D5-21C130C98987}"/>
                  </c:ext>
                </c:extLst>
              </c15:ser>
            </c15:filteredScatterSeries>
            <c15:filteredScatterSeries>
              <c15:ser>
                <c:idx val="21"/>
                <c:order val="21"/>
                <c:tx>
                  <c:v>IL, Pipe 3, 85% straked</c:v>
                </c:tx>
                <c:spPr>
                  <a:ln w="25400" cap="rnd">
                    <a:noFill/>
                    <a:round/>
                  </a:ln>
                  <a:effectLst/>
                </c:spPr>
                <c:marker>
                  <c:symbol val="circle"/>
                  <c:size val="7"/>
                  <c:spPr>
                    <a:solidFill>
                      <a:srgbClr val="00B050"/>
                    </a:solidFill>
                    <a:ln w="9525">
                      <a:solidFill>
                        <a:srgbClr val="00B050"/>
                      </a:solidFill>
                    </a:ln>
                    <a:effectLst/>
                  </c:spPr>
                </c:marker>
                <c:xVal>
                  <c:numRef>
                    <c:extLst xmlns:c15="http://schemas.microsoft.com/office/drawing/2012/chart">
                      <c:ext xmlns:c15="http://schemas.microsoft.com/office/drawing/2012/chart" uri="{02D57815-91ED-43cb-92C2-25804820EDAC}">
                        <c15:formulaRef>
                          <c15:sqref>m!$EW$136:$FA$136</c15:sqref>
                        </c15:formulaRef>
                      </c:ext>
                    </c:extLst>
                    <c:numCache>
                      <c:formatCode>General</c:formatCode>
                      <c:ptCount val="5"/>
                      <c:pt idx="0">
                        <c:v>1.275990699224635</c:v>
                      </c:pt>
                      <c:pt idx="1">
                        <c:v>4.2191067315113493</c:v>
                      </c:pt>
                    </c:numCache>
                  </c:numRef>
                </c:xVal>
                <c:yVal>
                  <c:numRef>
                    <c:extLst xmlns:c15="http://schemas.microsoft.com/office/drawing/2012/chart">
                      <c:ext xmlns:c15="http://schemas.microsoft.com/office/drawing/2012/chart" uri="{02D57815-91ED-43cb-92C2-25804820EDAC}">
                        <c15:formulaRef>
                          <c15:sqref>m!$EW$145:$FA$145</c15:sqref>
                        </c15:formulaRef>
                      </c:ext>
                    </c:extLst>
                    <c:numCache>
                      <c:formatCode>General</c:formatCode>
                      <c:ptCount val="5"/>
                      <c:pt idx="0">
                        <c:v>1.3288504775923112E-9</c:v>
                      </c:pt>
                      <c:pt idx="1">
                        <c:v>1.6138276642004433E-9</c:v>
                      </c:pt>
                    </c:numCache>
                  </c:numRef>
                </c:yVal>
                <c:smooth val="0"/>
                <c:extLst xmlns:c15="http://schemas.microsoft.com/office/drawing/2012/chart">
                  <c:ext xmlns:c16="http://schemas.microsoft.com/office/drawing/2014/chart" uri="{C3380CC4-5D6E-409C-BE32-E72D297353CC}">
                    <c16:uniqueId val="{00000005-BB56-46EE-A4D5-21C130C98987}"/>
                  </c:ext>
                </c:extLst>
              </c15:ser>
            </c15:filteredScatterSeries>
            <c15:filteredScatterSeries>
              <c15:ser>
                <c:idx val="22"/>
                <c:order val="22"/>
                <c:tx>
                  <c:v>CF, Pipe 3, 95% straked</c:v>
                </c:tx>
                <c:spPr>
                  <a:ln w="25400" cap="rnd">
                    <a:noFill/>
                    <a:round/>
                  </a:ln>
                  <a:effectLst/>
                </c:spPr>
                <c:marker>
                  <c:symbol val="square"/>
                  <c:size val="7"/>
                  <c:spPr>
                    <a:solidFill>
                      <a:srgbClr val="00B0F0"/>
                    </a:solidFill>
                    <a:ln w="9525">
                      <a:solidFill>
                        <a:srgbClr val="00B0F0"/>
                      </a:solidFill>
                    </a:ln>
                    <a:effectLst/>
                  </c:spPr>
                </c:marker>
                <c:xVal>
                  <c:numRef>
                    <c:extLst xmlns:c15="http://schemas.microsoft.com/office/drawing/2012/chart">
                      <c:ext xmlns:c15="http://schemas.microsoft.com/office/drawing/2012/chart" uri="{02D57815-91ED-43cb-92C2-25804820EDAC}">
                        <c15:formulaRef>
                          <c15:sqref>m!$ER$136:$EV$136</c15:sqref>
                        </c15:formulaRef>
                      </c:ext>
                    </c:extLst>
                    <c:numCache>
                      <c:formatCode>General</c:formatCode>
                      <c:ptCount val="5"/>
                      <c:pt idx="0">
                        <c:v>1.1585549834018851</c:v>
                      </c:pt>
                      <c:pt idx="1">
                        <c:v>5.4851641724022757</c:v>
                      </c:pt>
                    </c:numCache>
                  </c:numRef>
                </c:xVal>
                <c:yVal>
                  <c:numRef>
                    <c:extLst xmlns:c15="http://schemas.microsoft.com/office/drawing/2012/chart">
                      <c:ext xmlns:c15="http://schemas.microsoft.com/office/drawing/2012/chart" uri="{02D57815-91ED-43cb-92C2-25804820EDAC}">
                        <c15:formulaRef>
                          <c15:sqref>m!$ER$144:$EV$144</c15:sqref>
                        </c15:formulaRef>
                      </c:ext>
                    </c:extLst>
                    <c:numCache>
                      <c:formatCode>General</c:formatCode>
                      <c:ptCount val="5"/>
                      <c:pt idx="0">
                        <c:v>1.5495002279065027E-9</c:v>
                      </c:pt>
                      <c:pt idx="1">
                        <c:v>2.0890858886504666E-7</c:v>
                      </c:pt>
                    </c:numCache>
                  </c:numRef>
                </c:yVal>
                <c:smooth val="0"/>
                <c:extLst xmlns:c15="http://schemas.microsoft.com/office/drawing/2012/chart">
                  <c:ext xmlns:c16="http://schemas.microsoft.com/office/drawing/2014/chart" uri="{C3380CC4-5D6E-409C-BE32-E72D297353CC}">
                    <c16:uniqueId val="{00000006-BB56-46EE-A4D5-21C130C98987}"/>
                  </c:ext>
                </c:extLst>
              </c15:ser>
            </c15:filteredScatterSeries>
            <c15:filteredScatterSeries>
              <c15:ser>
                <c:idx val="23"/>
                <c:order val="23"/>
                <c:tx>
                  <c:v>IL, Pipe 3, 95% straked</c:v>
                </c:tx>
                <c:spPr>
                  <a:ln w="25400" cap="rnd">
                    <a:noFill/>
                    <a:round/>
                  </a:ln>
                  <a:effectLst/>
                </c:spPr>
                <c:marker>
                  <c:symbol val="circle"/>
                  <c:size val="7"/>
                  <c:spPr>
                    <a:solidFill>
                      <a:srgbClr val="00B0F0"/>
                    </a:solidFill>
                    <a:ln w="9525">
                      <a:solidFill>
                        <a:srgbClr val="00B0F0"/>
                      </a:solidFill>
                    </a:ln>
                    <a:effectLst/>
                  </c:spPr>
                </c:marker>
                <c:xVal>
                  <c:numRef>
                    <c:extLst xmlns:c15="http://schemas.microsoft.com/office/drawing/2012/chart">
                      <c:ext xmlns:c15="http://schemas.microsoft.com/office/drawing/2012/chart" uri="{02D57815-91ED-43cb-92C2-25804820EDAC}">
                        <c15:formulaRef>
                          <c15:sqref>m!$ER$136:$EV$136</c15:sqref>
                        </c15:formulaRef>
                      </c:ext>
                    </c:extLst>
                    <c:numCache>
                      <c:formatCode>General</c:formatCode>
                      <c:ptCount val="5"/>
                      <c:pt idx="0">
                        <c:v>1.1585549834018851</c:v>
                      </c:pt>
                      <c:pt idx="1">
                        <c:v>5.4851641724022757</c:v>
                      </c:pt>
                    </c:numCache>
                  </c:numRef>
                </c:xVal>
                <c:yVal>
                  <c:numRef>
                    <c:extLst xmlns:c15="http://schemas.microsoft.com/office/drawing/2012/chart">
                      <c:ext xmlns:c15="http://schemas.microsoft.com/office/drawing/2012/chart" uri="{02D57815-91ED-43cb-92C2-25804820EDAC}">
                        <c15:formulaRef>
                          <c15:sqref>m!$ER$145:$EV$145</c15:sqref>
                        </c15:formulaRef>
                      </c:ext>
                    </c:extLst>
                    <c:numCache>
                      <c:formatCode>General</c:formatCode>
                      <c:ptCount val="5"/>
                      <c:pt idx="0">
                        <c:v>1.0470725627886784E-9</c:v>
                      </c:pt>
                      <c:pt idx="1">
                        <c:v>7.3283937121966262E-10</c:v>
                      </c:pt>
                    </c:numCache>
                  </c:numRef>
                </c:yVal>
                <c:smooth val="0"/>
                <c:extLst xmlns:c15="http://schemas.microsoft.com/office/drawing/2012/chart">
                  <c:ext xmlns:c16="http://schemas.microsoft.com/office/drawing/2014/chart" uri="{C3380CC4-5D6E-409C-BE32-E72D297353CC}">
                    <c16:uniqueId val="{00000007-BB56-46EE-A4D5-21C130C98987}"/>
                  </c:ext>
                </c:extLst>
              </c15:ser>
            </c15:filteredScatterSeries>
            <c15:filteredScatterSeries>
              <c15:ser>
                <c:idx val="24"/>
                <c:order val="24"/>
                <c:tx>
                  <c:v>CF, Pipe 3, 99% straked</c:v>
                </c:tx>
                <c:spPr>
                  <a:ln w="25400" cap="rnd">
                    <a:noFill/>
                    <a:round/>
                  </a:ln>
                  <a:effectLst/>
                </c:spPr>
                <c:marker>
                  <c:symbol val="square"/>
                  <c:size val="7"/>
                  <c:spPr>
                    <a:solidFill>
                      <a:srgbClr val="002060"/>
                    </a:solidFill>
                    <a:ln w="9525">
                      <a:solidFill>
                        <a:schemeClr val="accent1">
                          <a:lumMod val="60000"/>
                          <a:lumOff val="40000"/>
                        </a:schemeClr>
                      </a:solidFill>
                    </a:ln>
                    <a:effectLst/>
                  </c:spPr>
                </c:marker>
                <c:xVal>
                  <c:numRef>
                    <c:extLst xmlns:c15="http://schemas.microsoft.com/office/drawing/2012/chart">
                      <c:ext xmlns:c15="http://schemas.microsoft.com/office/drawing/2012/chart" uri="{02D57815-91ED-43cb-92C2-25804820EDAC}">
                        <c15:formulaRef>
                          <c15:sqref>m!$EM$136:$EQ$136</c15:sqref>
                        </c15:formulaRef>
                      </c:ext>
                    </c:extLst>
                    <c:numCache>
                      <c:formatCode>General</c:formatCode>
                      <c:ptCount val="5"/>
                      <c:pt idx="0">
                        <c:v>1.3105581476521337</c:v>
                      </c:pt>
                      <c:pt idx="1">
                        <c:v>4.4152380023408355</c:v>
                      </c:pt>
                    </c:numCache>
                  </c:numRef>
                </c:xVal>
                <c:yVal>
                  <c:numRef>
                    <c:extLst xmlns:c15="http://schemas.microsoft.com/office/drawing/2012/chart">
                      <c:ext xmlns:c15="http://schemas.microsoft.com/office/drawing/2012/chart" uri="{02D57815-91ED-43cb-92C2-25804820EDAC}">
                        <c15:formulaRef>
                          <c15:sqref>m!$EM$144:$EQ$144</c15:sqref>
                        </c15:formulaRef>
                      </c:ext>
                    </c:extLst>
                    <c:numCache>
                      <c:formatCode>General</c:formatCode>
                      <c:ptCount val="5"/>
                      <c:pt idx="0">
                        <c:v>2.2258545426291163E-9</c:v>
                      </c:pt>
                      <c:pt idx="1">
                        <c:v>3.9610158665135103E-9</c:v>
                      </c:pt>
                    </c:numCache>
                  </c:numRef>
                </c:yVal>
                <c:smooth val="0"/>
                <c:extLst xmlns:c15="http://schemas.microsoft.com/office/drawing/2012/chart">
                  <c:ext xmlns:c16="http://schemas.microsoft.com/office/drawing/2014/chart" uri="{C3380CC4-5D6E-409C-BE32-E72D297353CC}">
                    <c16:uniqueId val="{00000008-BB56-46EE-A4D5-21C130C98987}"/>
                  </c:ext>
                </c:extLst>
              </c15:ser>
            </c15:filteredScatterSeries>
            <c15:filteredScatterSeries>
              <c15:ser>
                <c:idx val="25"/>
                <c:order val="25"/>
                <c:tx>
                  <c:v>IL, Pipe 3, 99% straked</c:v>
                </c:tx>
                <c:spPr>
                  <a:ln w="25400" cap="rnd">
                    <a:noFill/>
                    <a:round/>
                  </a:ln>
                  <a:effectLst/>
                </c:spPr>
                <c:marker>
                  <c:symbol val="circle"/>
                  <c:size val="7"/>
                  <c:spPr>
                    <a:solidFill>
                      <a:srgbClr val="002060"/>
                    </a:solidFill>
                    <a:ln w="9525">
                      <a:solidFill>
                        <a:srgbClr val="002060"/>
                      </a:solidFill>
                    </a:ln>
                    <a:effectLst/>
                  </c:spPr>
                </c:marker>
                <c:xVal>
                  <c:numRef>
                    <c:extLst xmlns:c15="http://schemas.microsoft.com/office/drawing/2012/chart">
                      <c:ext xmlns:c15="http://schemas.microsoft.com/office/drawing/2012/chart" uri="{02D57815-91ED-43cb-92C2-25804820EDAC}">
                        <c15:formulaRef>
                          <c15:sqref>m!$EM$136:$EQ$136</c15:sqref>
                        </c15:formulaRef>
                      </c:ext>
                    </c:extLst>
                    <c:numCache>
                      <c:formatCode>General</c:formatCode>
                      <c:ptCount val="5"/>
                      <c:pt idx="0">
                        <c:v>1.3105581476521337</c:v>
                      </c:pt>
                      <c:pt idx="1">
                        <c:v>4.4152380023408355</c:v>
                      </c:pt>
                    </c:numCache>
                  </c:numRef>
                </c:xVal>
                <c:yVal>
                  <c:numRef>
                    <c:extLst xmlns:c15="http://schemas.microsoft.com/office/drawing/2012/chart">
                      <c:ext xmlns:c15="http://schemas.microsoft.com/office/drawing/2012/chart" uri="{02D57815-91ED-43cb-92C2-25804820EDAC}">
                        <c15:formulaRef>
                          <c15:sqref>m!$EM$145:$EQ$145</c15:sqref>
                        </c15:formulaRef>
                      </c:ext>
                    </c:extLst>
                    <c:numCache>
                      <c:formatCode>General</c:formatCode>
                      <c:ptCount val="5"/>
                      <c:pt idx="0">
                        <c:v>9.8992244701818531E-10</c:v>
                      </c:pt>
                      <c:pt idx="1">
                        <c:v>2.9793051300996812E-9</c:v>
                      </c:pt>
                    </c:numCache>
                  </c:numRef>
                </c:yVal>
                <c:smooth val="0"/>
                <c:extLst xmlns:c15="http://schemas.microsoft.com/office/drawing/2012/chart">
                  <c:ext xmlns:c16="http://schemas.microsoft.com/office/drawing/2014/chart" uri="{C3380CC4-5D6E-409C-BE32-E72D297353CC}">
                    <c16:uniqueId val="{0000000E-BB56-46EE-A4D5-21C130C98987}"/>
                  </c:ext>
                </c:extLst>
              </c15:ser>
            </c15:filteredScatterSeries>
          </c:ext>
        </c:extLst>
      </c:scatterChart>
      <c:valAx>
        <c:axId val="624399680"/>
        <c:scaling>
          <c:logBase val="10"/>
          <c:orientation val="minMax"/>
          <c:max val="10"/>
          <c:min val="0.1"/>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Current Velocity</a:t>
                </a:r>
                <a:r>
                  <a:rPr lang="en-US" sz="1800" baseline="0">
                    <a:effectLst/>
                  </a:rPr>
                  <a:t> (m/s)</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At val="1.0000000000000007E-13"/>
        <c:crossBetween val="midCat"/>
      </c:valAx>
      <c:valAx>
        <c:axId val="624400008"/>
        <c:scaling>
          <c:logBase val="10"/>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a:effectLst/>
                  </a:rPr>
                  <a:t>Fatigue Damage Rate (1/s)</a:t>
                </a:r>
              </a:p>
            </c:rich>
          </c:tx>
          <c:layout>
            <c:manualLayout>
              <c:xMode val="edge"/>
              <c:yMode val="edge"/>
              <c:x val="1.5012948089335246E-2"/>
              <c:y val="0.3132477884708855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At val="0.1"/>
        <c:crossBetween val="midCat"/>
      </c:valAx>
      <c:spPr>
        <a:noFill/>
        <a:ln w="12700">
          <a:solidFill>
            <a:srgbClr val="808080"/>
          </a:solidFill>
          <a:prstDash val="solid"/>
        </a:ln>
        <a:effectLst/>
      </c:spPr>
    </c:plotArea>
    <c:legend>
      <c:legendPos val="r"/>
      <c:layout>
        <c:manualLayout>
          <c:xMode val="edge"/>
          <c:yMode val="edge"/>
          <c:x val="0.77911502561743862"/>
          <c:y val="1.9530400580269343E-2"/>
          <c:w val="0.19020677507131309"/>
          <c:h val="0.6590053166431119"/>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b="0"/>
            </a:pPr>
            <a:r>
              <a:rPr lang="nb-NO" b="0"/>
              <a:t>Static deflection at mid-span</a:t>
            </a:r>
          </a:p>
        </c:rich>
      </c:tx>
      <c:overlay val="0"/>
      <c:spPr>
        <a:noFill/>
        <a:ln>
          <a:noFill/>
        </a:ln>
        <a:effectLst/>
      </c:spPr>
    </c:title>
    <c:autoTitleDeleted val="0"/>
    <c:plotArea>
      <c:layout>
        <c:manualLayout>
          <c:layoutTarget val="inner"/>
          <c:xMode val="edge"/>
          <c:yMode val="edge"/>
          <c:x val="9.6926887389347183E-2"/>
          <c:y val="0.10875631271217573"/>
          <c:w val="0.85714175218888533"/>
          <c:h val="0.75762336621918891"/>
        </c:manualLayout>
      </c:layout>
      <c:scatterChart>
        <c:scatterStyle val="smoothMarker"/>
        <c:varyColors val="0"/>
        <c:ser>
          <c:idx val="4"/>
          <c:order val="0"/>
          <c:tx>
            <c:v>vertical component</c:v>
          </c:tx>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'c'!$G$277:$G$387</c:f>
              <c:numCache>
                <c:formatCode>General</c:formatCode>
                <c:ptCount val="111"/>
                <c:pt idx="0">
                  <c:v>2.3050252876728368</c:v>
                </c:pt>
                <c:pt idx="1">
                  <c:v>2.3009062540760343</c:v>
                </c:pt>
                <c:pt idx="2">
                  <c:v>2.2968018636851615</c:v>
                </c:pt>
                <c:pt idx="3">
                  <c:v>2.2927120389168598</c:v>
                </c:pt>
                <c:pt idx="4">
                  <c:v>2.2886367025308445</c:v>
                </c:pt>
                <c:pt idx="5">
                  <c:v>2.2845757778313733</c:v>
                </c:pt>
                <c:pt idx="6">
                  <c:v>2.2805291886624683</c:v>
                </c:pt>
                <c:pt idx="7">
                  <c:v>2.2764968594031791</c:v>
                </c:pt>
                <c:pt idx="8">
                  <c:v>2.2724787149628902</c:v>
                </c:pt>
                <c:pt idx="9">
                  <c:v>2.2684746807766816</c:v>
                </c:pt>
                <c:pt idx="10">
                  <c:v>2.264484682800747</c:v>
                </c:pt>
                <c:pt idx="11">
                  <c:v>2.2619313751533263</c:v>
                </c:pt>
                <c:pt idx="12">
                  <c:v>2.2204139251611705</c:v>
                </c:pt>
                <c:pt idx="13">
                  <c:v>2.1803881502207449</c:v>
                </c:pt>
                <c:pt idx="14">
                  <c:v>2.141775229574769</c:v>
                </c:pt>
                <c:pt idx="15">
                  <c:v>2.104501793693963</c:v>
                </c:pt>
                <c:pt idx="16">
                  <c:v>2.0684994613047194</c:v>
                </c:pt>
                <c:pt idx="17">
                  <c:v>2.0337044227977983</c:v>
                </c:pt>
                <c:pt idx="18">
                  <c:v>2.0000570646871245</c:v>
                </c:pt>
                <c:pt idx="19">
                  <c:v>1.9675016304766195</c:v>
                </c:pt>
                <c:pt idx="20">
                  <c:v>1.9359859138833417</c:v>
                </c:pt>
                <c:pt idx="21">
                  <c:v>1.6685784693800636</c:v>
                </c:pt>
                <c:pt idx="22">
                  <c:v>1.4659455560321808</c:v>
                </c:pt>
                <c:pt idx="23">
                  <c:v>1.3071189976222815</c:v>
                </c:pt>
                <c:pt idx="24">
                  <c:v>1.1792935798279678</c:v>
                </c:pt>
                <c:pt idx="25">
                  <c:v>1.0742085942348809</c:v>
                </c:pt>
                <c:pt idx="26">
                  <c:v>0.98629693993156453</c:v>
                </c:pt>
                <c:pt idx="27">
                  <c:v>0.9116704509063851</c:v>
                </c:pt>
                <c:pt idx="28">
                  <c:v>0.84753162461452025</c:v>
                </c:pt>
                <c:pt idx="29">
                  <c:v>0.79181642296159327</c:v>
                </c:pt>
                <c:pt idx="30">
                  <c:v>0.74296878199542904</c:v>
                </c:pt>
                <c:pt idx="31">
                  <c:v>0.69979346459483305</c:v>
                </c:pt>
                <c:pt idx="32">
                  <c:v>0.66135724603867241</c:v>
                </c:pt>
                <c:pt idx="33">
                  <c:v>0.62692087642087091</c:v>
                </c:pt>
                <c:pt idx="34">
                  <c:v>0.59589119098842369</c:v>
                </c:pt>
                <c:pt idx="35">
                  <c:v>0.5677867366293553</c:v>
                </c:pt>
                <c:pt idx="36">
                  <c:v>0.54221266496370746</c:v>
                </c:pt>
                <c:pt idx="37">
                  <c:v>0.51884210352583326</c:v>
                </c:pt>
                <c:pt idx="38">
                  <c:v>0.49740213582007969</c:v>
                </c:pt>
                <c:pt idx="39">
                  <c:v>0.47766311292072378</c:v>
                </c:pt>
                <c:pt idx="40">
                  <c:v>0.45943040838484889</c:v>
                </c:pt>
                <c:pt idx="41">
                  <c:v>0.442537988913075</c:v>
                </c:pt>
                <c:pt idx="42">
                  <c:v>0.42684335085805425</c:v>
                </c:pt>
                <c:pt idx="43">
                  <c:v>0.41222349570325606</c:v>
                </c:pt>
                <c:pt idx="44">
                  <c:v>0.3985717040685835</c:v>
                </c:pt>
                <c:pt idx="45">
                  <c:v>0.38579492934758347</c:v>
                </c:pt>
                <c:pt idx="46">
                  <c:v>0.37381167645689678</c:v>
                </c:pt>
                <c:pt idx="47">
                  <c:v>0.36255026354495801</c:v>
                </c:pt>
                <c:pt idx="48">
                  <c:v>0.35194738836925799</c:v>
                </c:pt>
                <c:pt idx="49">
                  <c:v>0.34194693882167154</c:v>
                </c:pt>
                <c:pt idx="50">
                  <c:v>0.33249900043969893</c:v>
                </c:pt>
                <c:pt idx="51">
                  <c:v>0.32355902387223395</c:v>
                </c:pt>
                <c:pt idx="52">
                  <c:v>0.31508712301535113</c:v>
                </c:pt>
                <c:pt idx="53">
                  <c:v>0.30704748050397374</c:v>
                </c:pt>
                <c:pt idx="54">
                  <c:v>0.29940784188047176</c:v>
                </c:pt>
                <c:pt idx="55">
                  <c:v>0.29213908338495148</c:v>
                </c:pt>
                <c:pt idx="56">
                  <c:v>0.28521484116365547</c:v>
                </c:pt>
                <c:pt idx="57">
                  <c:v>0.27861119194999312</c:v>
                </c:pt>
                <c:pt idx="58">
                  <c:v>0.27230637707146177</c:v>
                </c:pt>
                <c:pt idx="59">
                  <c:v>0.2662805630765821</c:v>
                </c:pt>
                <c:pt idx="60">
                  <c:v>0.26051563343638318</c:v>
                </c:pt>
                <c:pt idx="61">
                  <c:v>0.25499500671428521</c:v>
                </c:pt>
                <c:pt idx="62">
                  <c:v>0.24970347736227311</c:v>
                </c:pt>
                <c:pt idx="63">
                  <c:v>0.24462707592563185</c:v>
                </c:pt>
                <c:pt idx="64">
                  <c:v>0.2397529459510257</c:v>
                </c:pt>
                <c:pt idx="65">
                  <c:v>0.23506923531517737</c:v>
                </c:pt>
                <c:pt idx="66">
                  <c:v>0.23056500004108085</c:v>
                </c:pt>
                <c:pt idx="67">
                  <c:v>0.2262301189592367</c:v>
                </c:pt>
                <c:pt idx="68">
                  <c:v>0.22205521781373008</c:v>
                </c:pt>
                <c:pt idx="69">
                  <c:v>0.21803160161581331</c:v>
                </c:pt>
                <c:pt idx="70">
                  <c:v>0.21415119421803008</c:v>
                </c:pt>
                <c:pt idx="71">
                  <c:v>0.21040648422549496</c:v>
                </c:pt>
                <c:pt idx="72">
                  <c:v>0.20679047648232776</c:v>
                </c:pt>
                <c:pt idx="73">
                  <c:v>0.20329664847418291</c:v>
                </c:pt>
                <c:pt idx="74">
                  <c:v>0.19991891107536763</c:v>
                </c:pt>
                <c:pt idx="75">
                  <c:v>0.19665157314372722</c:v>
                </c:pt>
                <c:pt idx="76">
                  <c:v>0.19348930953036078</c:v>
                </c:pt>
                <c:pt idx="77">
                  <c:v>0.19042713212601278</c:v>
                </c:pt>
                <c:pt idx="78">
                  <c:v>0.18746036361310114</c:v>
                </c:pt>
                <c:pt idx="79">
                  <c:v>0.18458461363295045</c:v>
                </c:pt>
                <c:pt idx="80">
                  <c:v>0.18179575711288312</c:v>
                </c:pt>
                <c:pt idx="81">
                  <c:v>0.17908991452822201</c:v>
                </c:pt>
                <c:pt idx="82">
                  <c:v>0.17646343390063118</c:v>
                </c:pt>
                <c:pt idx="83">
                  <c:v>0.17391287435717948</c:v>
                </c:pt>
                <c:pt idx="84">
                  <c:v>0.17143499109451646</c:v>
                </c:pt>
                <c:pt idx="85">
                  <c:v>0.16902672161003524</c:v>
                </c:pt>
                <c:pt idx="86">
                  <c:v>0.16668517307719771</c:v>
                </c:pt>
                <c:pt idx="87">
                  <c:v>0.16440761075561686</c:v>
                </c:pt>
                <c:pt idx="88">
                  <c:v>0.16219144733828939</c:v>
                </c:pt>
                <c:pt idx="89">
                  <c:v>0.16003423314874909</c:v>
                </c:pt>
                <c:pt idx="90">
                  <c:v>0.15793364711007316</c:v>
                </c:pt>
                <c:pt idx="91">
                  <c:v>0.15588748841575725</c:v>
                </c:pt>
                <c:pt idx="92">
                  <c:v>0.1538936688396399</c:v>
                </c:pt>
                <c:pt idx="93">
                  <c:v>0.15195020562839476</c:v>
                </c:pt>
                <c:pt idx="94">
                  <c:v>0.15005521492574889</c:v>
                </c:pt>
                <c:pt idx="95">
                  <c:v>0.14820690568258965</c:v>
                </c:pt>
                <c:pt idx="96">
                  <c:v>0.14640357401158574</c:v>
                </c:pt>
                <c:pt idx="97">
                  <c:v>0.14464359794892415</c:v>
                </c:pt>
                <c:pt idx="98">
                  <c:v>0.14292543258931967</c:v>
                </c:pt>
                <c:pt idx="99">
                  <c:v>0.141247605563629</c:v>
                </c:pt>
                <c:pt idx="100">
                  <c:v>0.13960871283125023</c:v>
                </c:pt>
                <c:pt idx="101">
                  <c:v>0.13800741476203718</c:v>
                </c:pt>
                <c:pt idx="102">
                  <c:v>0.13491254448114676</c:v>
                </c:pt>
                <c:pt idx="103">
                  <c:v>0.13195343311989169</c:v>
                </c:pt>
                <c:pt idx="104">
                  <c:v>0.12912133987983249</c:v>
                </c:pt>
                <c:pt idx="105">
                  <c:v>0.12640825854212123</c:v>
                </c:pt>
                <c:pt idx="106">
                  <c:v>0.12380684188952187</c:v>
                </c:pt>
                <c:pt idx="107">
                  <c:v>0.12131033527116455</c:v>
                </c:pt>
                <c:pt idx="108">
                  <c:v>0.11891251804522984</c:v>
                </c:pt>
                <c:pt idx="109">
                  <c:v>0.1166076518308428</c:v>
                </c:pt>
                <c:pt idx="110">
                  <c:v>0.11439043466300267</c:v>
                </c:pt>
              </c:numCache>
            </c:numRef>
          </c:yVal>
          <c:smooth val="1"/>
          <c:extLst>
            <c:ext xmlns:c16="http://schemas.microsoft.com/office/drawing/2014/chart" uri="{C3380CC4-5D6E-409C-BE32-E72D297353CC}">
              <c16:uniqueId val="{0000000A-1D81-4A95-B346-779211FE6DFF}"/>
            </c:ext>
          </c:extLst>
        </c:ser>
        <c:ser>
          <c:idx val="5"/>
          <c:order val="1"/>
          <c:tx>
            <c:v>horizontal component</c:v>
          </c:tx>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'c'!$H$277:$H$387</c:f>
              <c:numCache>
                <c:formatCode>General</c:formatCode>
                <c:ptCount val="111"/>
                <c:pt idx="0">
                  <c:v>3.376844647014731E-5</c:v>
                </c:pt>
                <c:pt idx="1">
                  <c:v>0.1508488752124986</c:v>
                </c:pt>
                <c:pt idx="2">
                  <c:v>0.21309536047198388</c:v>
                </c:pt>
                <c:pt idx="3">
                  <c:v>0.260698035388095</c:v>
                </c:pt>
                <c:pt idx="4">
                  <c:v>0.30069518281378221</c:v>
                </c:pt>
                <c:pt idx="5">
                  <c:v>0.33581649622142973</c:v>
                </c:pt>
                <c:pt idx="6">
                  <c:v>0.36746366146302029</c:v>
                </c:pt>
                <c:pt idx="7">
                  <c:v>0.39647037121684048</c:v>
                </c:pt>
                <c:pt idx="8">
                  <c:v>0.42338049498425084</c:v>
                </c:pt>
                <c:pt idx="9">
                  <c:v>0.44857227673411859</c:v>
                </c:pt>
                <c:pt idx="10">
                  <c:v>0.47232145958833116</c:v>
                </c:pt>
                <c:pt idx="11">
                  <c:v>0.48690181333783011</c:v>
                </c:pt>
                <c:pt idx="12">
                  <c:v>0.68076534747875339</c:v>
                </c:pt>
                <c:pt idx="13">
                  <c:v>0.82454018234306903</c:v>
                </c:pt>
                <c:pt idx="14">
                  <c:v>0.94183025470412585</c:v>
                </c:pt>
                <c:pt idx="15">
                  <c:v>1.0419263781089729</c:v>
                </c:pt>
                <c:pt idx="16">
                  <c:v>1.1296671415674804</c:v>
                </c:pt>
                <c:pt idx="17">
                  <c:v>1.2079693726916811</c:v>
                </c:pt>
                <c:pt idx="18">
                  <c:v>1.2787601004906755</c:v>
                </c:pt>
                <c:pt idx="19">
                  <c:v>1.3433953138145451</c:v>
                </c:pt>
                <c:pt idx="20">
                  <c:v>1.4028741972923229</c:v>
                </c:pt>
                <c:pt idx="21">
                  <c:v>1.826328160416407</c:v>
                </c:pt>
                <c:pt idx="22">
                  <c:v>2.0915584045300823</c:v>
                </c:pt>
                <c:pt idx="23">
                  <c:v>2.2846005629469119</c:v>
                </c:pt>
                <c:pt idx="24">
                  <c:v>2.4375946237886663</c:v>
                </c:pt>
                <c:pt idx="25">
                  <c:v>2.5658447942210438</c:v>
                </c:pt>
                <c:pt idx="26">
                  <c:v>2.6776454605024274</c:v>
                </c:pt>
                <c:pt idx="27">
                  <c:v>2.7778904070118124</c:v>
                </c:pt>
                <c:pt idx="28">
                  <c:v>2.8696518001186879</c:v>
                </c:pt>
                <c:pt idx="29">
                  <c:v>2.9549538132796824</c:v>
                </c:pt>
                <c:pt idx="30">
                  <c:v>3.0351837102258927</c:v>
                </c:pt>
                <c:pt idx="31">
                  <c:v>3.1113242486619437</c:v>
                </c:pt>
                <c:pt idx="32">
                  <c:v>3.1840917267982038</c:v>
                </c:pt>
                <c:pt idx="33">
                  <c:v>3.2540213889072667</c:v>
                </c:pt>
                <c:pt idx="34">
                  <c:v>3.3215221090725975</c:v>
                </c:pt>
                <c:pt idx="35">
                  <c:v>3.3869124530734287</c:v>
                </c:pt>
                <c:pt idx="36">
                  <c:v>3.4504450804354381</c:v>
                </c:pt>
                <c:pt idx="37">
                  <c:v>3.5123236368820039</c:v>
                </c:pt>
                <c:pt idx="38">
                  <c:v>3.57271468849151</c:v>
                </c:pt>
                <c:pt idx="39">
                  <c:v>3.6317563088990101</c:v>
                </c:pt>
                <c:pt idx="40">
                  <c:v>3.6895643619339529</c:v>
                </c:pt>
                <c:pt idx="41">
                  <c:v>3.7462371686800839</c:v>
                </c:pt>
                <c:pt idx="42">
                  <c:v>3.8018590232775269</c:v>
                </c:pt>
                <c:pt idx="43">
                  <c:v>3.8565028759483262</c:v>
                </c:pt>
                <c:pt idx="44">
                  <c:v>3.9102324052452571</c:v>
                </c:pt>
                <c:pt idx="45">
                  <c:v>3.9631036365805921</c:v>
                </c:pt>
                <c:pt idx="46">
                  <c:v>4.0151662196774067</c:v>
                </c:pt>
                <c:pt idx="47">
                  <c:v>4.0664644467631801</c:v>
                </c:pt>
                <c:pt idx="48">
                  <c:v>4.1170380716428632</c:v>
                </c:pt>
                <c:pt idx="49">
                  <c:v>4.1669229743421479</c:v>
                </c:pt>
                <c:pt idx="50">
                  <c:v>4.2161517048778006</c:v>
                </c:pt>
                <c:pt idx="51">
                  <c:v>4.2647539315978236</c:v>
                </c:pt>
                <c:pt idx="52">
                  <c:v>4.3127568135593606</c:v>
                </c:pt>
                <c:pt idx="53">
                  <c:v>4.3601853119699525</c:v>
                </c:pt>
                <c:pt idx="54">
                  <c:v>4.4070624523843298</c:v>
                </c:pt>
                <c:pt idx="55">
                  <c:v>4.4534095468259114</c:v>
                </c:pt>
                <c:pt idx="56">
                  <c:v>4.4992463830769012</c:v>
                </c:pt>
                <c:pt idx="57">
                  <c:v>4.5445913869000378</c:v>
                </c:pt>
                <c:pt idx="58">
                  <c:v>4.5894617618078852</c:v>
                </c:pt>
                <c:pt idx="59">
                  <c:v>4.6338736101003013</c:v>
                </c:pt>
                <c:pt idx="60">
                  <c:v>4.6778420381875501</c:v>
                </c:pt>
                <c:pt idx="61">
                  <c:v>4.7213812486605837</c:v>
                </c:pt>
                <c:pt idx="62">
                  <c:v>4.7645046211277364</c:v>
                </c:pt>
                <c:pt idx="63">
                  <c:v>4.8072247834832611</c:v>
                </c:pt>
                <c:pt idx="64">
                  <c:v>4.8495536749883232</c:v>
                </c:pt>
                <c:pt idx="65">
                  <c:v>4.8915026023147119</c:v>
                </c:pt>
                <c:pt idx="66">
                  <c:v>4.933082289514112</c:v>
                </c:pt>
                <c:pt idx="67">
                  <c:v>4.9743029227226829</c:v>
                </c:pt>
                <c:pt idx="68">
                  <c:v>5.0151741902848137</c:v>
                </c:pt>
                <c:pt idx="69">
                  <c:v>5.0557053188761865</c:v>
                </c:pt>
                <c:pt idx="70">
                  <c:v>5.0959051061202194</c:v>
                </c:pt>
                <c:pt idx="71">
                  <c:v>5.1357819501203599</c:v>
                </c:pt>
                <c:pt idx="72">
                  <c:v>5.1753438762707438</c:v>
                </c:pt>
                <c:pt idx="73">
                  <c:v>5.2145985616576604</c:v>
                </c:pt>
                <c:pt idx="74">
                  <c:v>5.2535533573217386</c:v>
                </c:pt>
                <c:pt idx="75">
                  <c:v>5.2922153086150656</c:v>
                </c:pt>
                <c:pt idx="76">
                  <c:v>5.3305911738570684</c:v>
                </c:pt>
                <c:pt idx="77">
                  <c:v>5.3686874414670438</c:v>
                </c:pt>
                <c:pt idx="78">
                  <c:v>5.4065103457290951</c:v>
                </c:pt>
                <c:pt idx="79">
                  <c:v>5.4440658813263729</c:v>
                </c:pt>
                <c:pt idx="80">
                  <c:v>5.4813598167649928</c:v>
                </c:pt>
                <c:pt idx="81">
                  <c:v>5.5183977067941328</c:v>
                </c:pt>
                <c:pt idx="82">
                  <c:v>5.5551849039164614</c:v>
                </c:pt>
                <c:pt idx="83">
                  <c:v>5.591726569072569</c:v>
                </c:pt>
                <c:pt idx="84">
                  <c:v>5.6280276815737729</c:v>
                </c:pt>
                <c:pt idx="85">
                  <c:v>5.6640930483497494</c:v>
                </c:pt>
                <c:pt idx="86">
                  <c:v>5.6999273125702814</c:v>
                </c:pt>
                <c:pt idx="87">
                  <c:v>5.7355349616943228</c:v>
                </c:pt>
                <c:pt idx="88">
                  <c:v>5.7709203349941527</c:v>
                </c:pt>
                <c:pt idx="89">
                  <c:v>5.8060876305975215</c:v>
                </c:pt>
                <c:pt idx="90">
                  <c:v>5.8410409120865969</c:v>
                </c:pt>
                <c:pt idx="91">
                  <c:v>5.8757841146886607</c:v>
                </c:pt>
                <c:pt idx="92">
                  <c:v>5.9103210510902295</c:v>
                </c:pt>
                <c:pt idx="93">
                  <c:v>5.9446554169033119</c:v>
                </c:pt>
                <c:pt idx="94">
                  <c:v>5.9787907958098918</c:v>
                </c:pt>
                <c:pt idx="95">
                  <c:v>6.012730664408334</c:v>
                </c:pt>
                <c:pt idx="96">
                  <c:v>6.0464783967833542</c:v>
                </c:pt>
                <c:pt idx="97">
                  <c:v>6.0800372688192716</c:v>
                </c:pt>
                <c:pt idx="98">
                  <c:v>6.1134104622745831</c:v>
                </c:pt>
                <c:pt idx="99">
                  <c:v>6.1466010686343591</c:v>
                </c:pt>
                <c:pt idx="100">
                  <c:v>6.1796120927555993</c:v>
                </c:pt>
                <c:pt idx="101">
                  <c:v>6.2124464563194612</c:v>
                </c:pt>
                <c:pt idx="102">
                  <c:v>6.277596492082834</c:v>
                </c:pt>
                <c:pt idx="103">
                  <c:v>6.3420730060570385</c:v>
                </c:pt>
                <c:pt idx="104">
                  <c:v>6.4058966903422601</c:v>
                </c:pt>
                <c:pt idx="105">
                  <c:v>6.4690871821487876</c:v>
                </c:pt>
                <c:pt idx="106">
                  <c:v>6.5316631390968434</c:v>
                </c:pt>
                <c:pt idx="107">
                  <c:v>6.5936423075827664</c:v>
                </c:pt>
                <c:pt idx="108">
                  <c:v>6.6550415849955042</c:v>
                </c:pt>
                <c:pt idx="109">
                  <c:v>6.7158770764621059</c:v>
                </c:pt>
                <c:pt idx="110">
                  <c:v>6.7761641467122375</c:v>
                </c:pt>
              </c:numCache>
            </c:numRef>
          </c:yVal>
          <c:smooth val="1"/>
          <c:extLst>
            <c:ext xmlns:c16="http://schemas.microsoft.com/office/drawing/2014/chart" uri="{C3380CC4-5D6E-409C-BE32-E72D297353CC}">
              <c16:uniqueId val="{0000000B-1D81-4A95-B346-779211FE6DFF}"/>
            </c:ext>
          </c:extLst>
        </c:ser>
        <c:ser>
          <c:idx val="2"/>
          <c:order val="2"/>
          <c:tx>
            <c:v>Vert. Vivana</c:v>
          </c:tx>
          <c:spPr>
            <a:ln w="19050" cap="rnd">
              <a:solidFill>
                <a:schemeClr val="accent3"/>
              </a:solidFill>
              <a:prstDash val="dash"/>
              <a:round/>
            </a:ln>
            <a:effectLst/>
          </c:spPr>
          <c:marker>
            <c:symbol val="none"/>
          </c:marker>
          <c:xVal>
            <c:numRef>
              <c:f>VIVANA_res!$I$3:$I$20</c:f>
              <c:numCache>
                <c:formatCode>General</c:formatCode>
                <c:ptCount val="18"/>
                <c:pt idx="0">
                  <c:v>0.60281476301413028</c:v>
                </c:pt>
                <c:pt idx="1">
                  <c:v>1.0013523954863526</c:v>
                </c:pt>
                <c:pt idx="2">
                  <c:v>1.5519544609164551</c:v>
                </c:pt>
                <c:pt idx="3">
                  <c:v>2.0080465492169632</c:v>
                </c:pt>
                <c:pt idx="4">
                  <c:v>2.5099553283107761</c:v>
                </c:pt>
                <c:pt idx="5">
                  <c:v>2.9601023770646941</c:v>
                </c:pt>
                <c:pt idx="6">
                  <c:v>3.4821561394951028</c:v>
                </c:pt>
                <c:pt idx="7">
                  <c:v>4.0695927376681276</c:v>
                </c:pt>
                <c:pt idx="8">
                  <c:v>4.535563715395309</c:v>
                </c:pt>
                <c:pt idx="9">
                  <c:v>5.0728775903620189</c:v>
                </c:pt>
                <c:pt idx="10">
                  <c:v>6.0098742540054682</c:v>
                </c:pt>
                <c:pt idx="11">
                  <c:v>6.4999083797598081</c:v>
                </c:pt>
                <c:pt idx="12">
                  <c:v>6.97760993543063</c:v>
                </c:pt>
                <c:pt idx="13">
                  <c:v>7.5212565313209341</c:v>
                </c:pt>
                <c:pt idx="14">
                  <c:v>8.0518941247170073</c:v>
                </c:pt>
                <c:pt idx="15">
                  <c:v>8.4974754066869398</c:v>
                </c:pt>
                <c:pt idx="16">
                  <c:v>9.0075808218821223</c:v>
                </c:pt>
                <c:pt idx="17">
                  <c:v>9.9999999973481977</c:v>
                </c:pt>
              </c:numCache>
            </c:numRef>
          </c:xVal>
          <c:yVal>
            <c:numRef>
              <c:f>VIVANA_res!$N$3:$N$20</c:f>
              <c:numCache>
                <c:formatCode>General</c:formatCode>
                <c:ptCount val="18"/>
                <c:pt idx="0">
                  <c:v>2.1299999999999955</c:v>
                </c:pt>
                <c:pt idx="1">
                  <c:v>1.9200000000000159</c:v>
                </c:pt>
                <c:pt idx="2">
                  <c:v>1.3799999999999955</c:v>
                </c:pt>
                <c:pt idx="3">
                  <c:v>1.0099999999999909</c:v>
                </c:pt>
                <c:pt idx="4">
                  <c:v>0.74000000000000909</c:v>
                </c:pt>
                <c:pt idx="5">
                  <c:v>0.58999999999997499</c:v>
                </c:pt>
                <c:pt idx="6">
                  <c:v>0.47000000000002728</c:v>
                </c:pt>
                <c:pt idx="7">
                  <c:v>0.37000000000000455</c:v>
                </c:pt>
                <c:pt idx="8">
                  <c:v>0.31999999999999318</c:v>
                </c:pt>
                <c:pt idx="9">
                  <c:v>0.26999999999998181</c:v>
                </c:pt>
                <c:pt idx="10">
                  <c:v>0.22000000000002728</c:v>
                </c:pt>
                <c:pt idx="11">
                  <c:v>0.18999999999999773</c:v>
                </c:pt>
                <c:pt idx="12">
                  <c:v>0.17000000000001592</c:v>
                </c:pt>
                <c:pt idx="13">
                  <c:v>0.16000000000002501</c:v>
                </c:pt>
                <c:pt idx="14">
                  <c:v>0.13999999999998636</c:v>
                </c:pt>
                <c:pt idx="15">
                  <c:v>0.12999999999999545</c:v>
                </c:pt>
                <c:pt idx="16">
                  <c:v>0.12000000000000455</c:v>
                </c:pt>
                <c:pt idx="17">
                  <c:v>0.11000000000001364</c:v>
                </c:pt>
              </c:numCache>
            </c:numRef>
          </c:yVal>
          <c:smooth val="1"/>
          <c:extLst>
            <c:ext xmlns:c16="http://schemas.microsoft.com/office/drawing/2014/chart" uri="{C3380CC4-5D6E-409C-BE32-E72D297353CC}">
              <c16:uniqueId val="{00000007-1D81-4A95-B346-779211FE6DFF}"/>
            </c:ext>
          </c:extLst>
        </c:ser>
        <c:ser>
          <c:idx val="3"/>
          <c:order val="3"/>
          <c:tx>
            <c:v>Horiz. Vivana</c:v>
          </c:tx>
          <c:spPr>
            <a:ln w="15875" cap="rnd">
              <a:solidFill>
                <a:schemeClr val="tx1"/>
              </a:solidFill>
              <a:prstDash val="sysDash"/>
              <a:round/>
            </a:ln>
            <a:effectLst/>
          </c:spPr>
          <c:marker>
            <c:symbol val="none"/>
          </c:marker>
          <c:xVal>
            <c:numRef>
              <c:f>VIVANA_res!$I$3:$I$20</c:f>
              <c:numCache>
                <c:formatCode>General</c:formatCode>
                <c:ptCount val="18"/>
                <c:pt idx="0">
                  <c:v>0.60281476301413028</c:v>
                </c:pt>
                <c:pt idx="1">
                  <c:v>1.0013523954863526</c:v>
                </c:pt>
                <c:pt idx="2">
                  <c:v>1.5519544609164551</c:v>
                </c:pt>
                <c:pt idx="3">
                  <c:v>2.0080465492169632</c:v>
                </c:pt>
                <c:pt idx="4">
                  <c:v>2.5099553283107761</c:v>
                </c:pt>
                <c:pt idx="5">
                  <c:v>2.9601023770646941</c:v>
                </c:pt>
                <c:pt idx="6">
                  <c:v>3.4821561394951028</c:v>
                </c:pt>
                <c:pt idx="7">
                  <c:v>4.0695927376681276</c:v>
                </c:pt>
                <c:pt idx="8">
                  <c:v>4.535563715395309</c:v>
                </c:pt>
                <c:pt idx="9">
                  <c:v>5.0728775903620189</c:v>
                </c:pt>
                <c:pt idx="10">
                  <c:v>6.0098742540054682</c:v>
                </c:pt>
                <c:pt idx="11">
                  <c:v>6.4999083797598081</c:v>
                </c:pt>
                <c:pt idx="12">
                  <c:v>6.97760993543063</c:v>
                </c:pt>
                <c:pt idx="13">
                  <c:v>7.5212565313209341</c:v>
                </c:pt>
                <c:pt idx="14">
                  <c:v>8.0518941247170073</c:v>
                </c:pt>
                <c:pt idx="15">
                  <c:v>8.4974754066869398</c:v>
                </c:pt>
                <c:pt idx="16">
                  <c:v>9.0075808218821223</c:v>
                </c:pt>
                <c:pt idx="17">
                  <c:v>9.9999999973481977</c:v>
                </c:pt>
              </c:numCache>
            </c:numRef>
          </c:xVal>
          <c:yVal>
            <c:numRef>
              <c:f>VIVANA_res!$L$3:$L$20</c:f>
              <c:numCache>
                <c:formatCode>General</c:formatCode>
                <c:ptCount val="18"/>
                <c:pt idx="0">
                  <c:v>0.48683999999999999</c:v>
                </c:pt>
                <c:pt idx="1">
                  <c:v>1.2073</c:v>
                </c:pt>
                <c:pt idx="2">
                  <c:v>2.0878999999999999</c:v>
                </c:pt>
                <c:pt idx="3">
                  <c:v>2.5590000000000002</c:v>
                </c:pt>
                <c:pt idx="4">
                  <c:v>2.9443000000000001</c:v>
                </c:pt>
                <c:pt idx="5">
                  <c:v>3.2397</c:v>
                </c:pt>
                <c:pt idx="6">
                  <c:v>3.5535999999999999</c:v>
                </c:pt>
                <c:pt idx="7">
                  <c:v>3.8851</c:v>
                </c:pt>
                <c:pt idx="8">
                  <c:v>4.1364000000000001</c:v>
                </c:pt>
                <c:pt idx="9">
                  <c:v>4.4160000000000004</c:v>
                </c:pt>
                <c:pt idx="10">
                  <c:v>4.8822000000000001</c:v>
                </c:pt>
                <c:pt idx="11">
                  <c:v>5.1166999999999998</c:v>
                </c:pt>
                <c:pt idx="12">
                  <c:v>5.3396999999999997</c:v>
                </c:pt>
                <c:pt idx="13" formatCode="0.00E+00">
                  <c:v>5.5873999999999997</c:v>
                </c:pt>
                <c:pt idx="14" formatCode="0.00E+00">
                  <c:v>5.8232999999999997</c:v>
                </c:pt>
                <c:pt idx="15" formatCode="0.00E+00">
                  <c:v>6.0172999999999996</c:v>
                </c:pt>
                <c:pt idx="16">
                  <c:v>6.2350000000000003</c:v>
                </c:pt>
                <c:pt idx="17">
                  <c:v>6.6463000000000001</c:v>
                </c:pt>
              </c:numCache>
            </c:numRef>
          </c:yVal>
          <c:smooth val="1"/>
          <c:extLst>
            <c:ext xmlns:c16="http://schemas.microsoft.com/office/drawing/2014/chart" uri="{C3380CC4-5D6E-409C-BE32-E72D297353CC}">
              <c16:uniqueId val="{00000009-1D81-4A95-B346-779211FE6DFF}"/>
            </c:ext>
          </c:extLst>
        </c:ser>
        <c:dLbls>
          <c:showLegendKey val="0"/>
          <c:showVal val="0"/>
          <c:showCatName val="0"/>
          <c:showSerName val="0"/>
          <c:showPercent val="0"/>
          <c:showBubbleSize val="0"/>
        </c:dLbls>
        <c:axId val="750509088"/>
        <c:axId val="750511712"/>
      </c:scatterChart>
      <c:valAx>
        <c:axId val="750509088"/>
        <c:scaling>
          <c:orientation val="minMax"/>
          <c:max val="10"/>
        </c:scaling>
        <c:delete val="0"/>
        <c:axPos val="b"/>
        <c:majorGridlines>
          <c:spPr>
            <a:ln w="3175">
              <a:solidFill>
                <a:srgbClr val="C0C0C0"/>
              </a:solidFill>
              <a:prstDash val="solid"/>
            </a:ln>
            <a:effectLst/>
          </c:spPr>
        </c:majorGridlines>
        <c:minorGridlines>
          <c:spPr>
            <a:ln w="3175">
              <a:solidFill>
                <a:srgbClr val="CCCCFF"/>
              </a:solidFill>
              <a:prstDash val="solid"/>
            </a:ln>
            <a:effectLst/>
          </c:spPr>
        </c:minorGridlines>
        <c:title>
          <c:tx>
            <c:rich>
              <a:bodyPr rot="0" vert="horz"/>
              <a:lstStyle/>
              <a:p>
                <a:pPr>
                  <a:defRPr b="0"/>
                </a:pPr>
                <a:r>
                  <a:rPr lang="nb-NO" b="0"/>
                  <a:t>Uc (m/s)</a:t>
                </a:r>
              </a:p>
            </c:rich>
          </c:tx>
          <c:overlay val="0"/>
          <c:spPr>
            <a:noFill/>
            <a:ln>
              <a:noFill/>
            </a:ln>
            <a:effectLst/>
          </c:sp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vert="horz"/>
          <a:lstStyle/>
          <a:p>
            <a:pPr>
              <a:defRPr/>
            </a:pPr>
            <a:endParaRPr lang="en-US"/>
          </a:p>
        </c:txPr>
        <c:crossAx val="750511712"/>
        <c:crosses val="autoZero"/>
        <c:crossBetween val="midCat"/>
      </c:valAx>
      <c:valAx>
        <c:axId val="750511712"/>
        <c:scaling>
          <c:orientation val="minMax"/>
          <c:max val="8"/>
        </c:scaling>
        <c:delete val="0"/>
        <c:axPos val="l"/>
        <c:majorGridlines>
          <c:spPr>
            <a:ln w="3175">
              <a:solidFill>
                <a:srgbClr val="C0C0C0"/>
              </a:solidFill>
              <a:prstDash val="solid"/>
            </a:ln>
            <a:effectLst/>
          </c:spPr>
        </c:majorGridlines>
        <c:minorGridlines>
          <c:spPr>
            <a:ln w="3175">
              <a:solidFill>
                <a:srgbClr val="CCCCFF"/>
              </a:solidFill>
              <a:prstDash val="solid"/>
            </a:ln>
            <a:effectLst/>
          </c:spPr>
        </c:minorGridlines>
        <c:title>
          <c:tx>
            <c:rich>
              <a:bodyPr rot="-5400000" vert="horz"/>
              <a:lstStyle/>
              <a:p>
                <a:pPr>
                  <a:defRPr b="0"/>
                </a:pPr>
                <a:r>
                  <a:rPr lang="nb-NO" b="0"/>
                  <a:t>Delfection (m)</a:t>
                </a:r>
              </a:p>
            </c:rich>
          </c:tx>
          <c:layout>
            <c:manualLayout>
              <c:xMode val="edge"/>
              <c:yMode val="edge"/>
              <c:x val="3.2744872221416518E-2"/>
              <c:y val="0.35140152169005862"/>
            </c:manualLayout>
          </c:layout>
          <c:overlay val="0"/>
          <c:spPr>
            <a:noFill/>
            <a:ln>
              <a:noFill/>
            </a:ln>
            <a:effectLst/>
          </c:sp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vert="horz"/>
          <a:lstStyle/>
          <a:p>
            <a:pPr>
              <a:defRPr/>
            </a:pPr>
            <a:endParaRPr lang="en-US"/>
          </a:p>
        </c:txPr>
        <c:crossAx val="750509088"/>
        <c:crosses val="autoZero"/>
        <c:crossBetween val="midCat"/>
      </c:valAx>
      <c:spPr>
        <a:noFill/>
        <a:ln w="12700">
          <a:solidFill>
            <a:srgbClr val="808080"/>
          </a:solidFill>
          <a:prstDash val="solid"/>
        </a:ln>
      </c:spPr>
    </c:plotArea>
    <c:legend>
      <c:legendPos val="r"/>
      <c:layout>
        <c:manualLayout>
          <c:xMode val="edge"/>
          <c:yMode val="edge"/>
          <c:x val="0.14058482126353924"/>
          <c:y val="0.13248405500745797"/>
          <c:w val="0.30222218430713493"/>
          <c:h val="0.26776504538956242"/>
        </c:manualLayout>
      </c:layout>
      <c:overlay val="0"/>
      <c:spPr>
        <a:solidFill>
          <a:sysClr val="window" lastClr="FFFFFF">
            <a:lumMod val="100000"/>
          </a:sysClr>
        </a:solidFill>
        <a:ln w="3175">
          <a:solidFill>
            <a:srgbClr val="C0C0C0"/>
          </a:solidFill>
          <a:prstDash val="solid"/>
        </a:ln>
        <a:effectLst/>
      </c:spPr>
      <c:txPr>
        <a:bodyPr rot="0" vert="horz"/>
        <a:lstStyle/>
        <a:p>
          <a:pPr>
            <a:defRPr b="0"/>
          </a:pPr>
          <a:endParaRPr lang="en-US"/>
        </a:p>
      </c:txPr>
    </c:legend>
    <c:plotVisOnly val="1"/>
    <c:dispBlanksAs val="gap"/>
    <c:showDLblsOverMax val="0"/>
    <c:extLst/>
  </c:chart>
  <c:spPr>
    <a:ln w="25400">
      <a:noFill/>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85193607894172"/>
          <c:y val="2.4349477682811017E-2"/>
          <c:w val="0.65191381962062744"/>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m!$AF$136:$AO$136</c:f>
              <c:numCache>
                <c:formatCode>General</c:formatCode>
                <c:ptCount val="10"/>
                <c:pt idx="6">
                  <c:v>1.6143948063818636</c:v>
                </c:pt>
                <c:pt idx="7">
                  <c:v>1.9401411172244991</c:v>
                </c:pt>
                <c:pt idx="8">
                  <c:v>2.3020971953720357</c:v>
                </c:pt>
                <c:pt idx="9">
                  <c:v>2.7961447987028745</c:v>
                </c:pt>
              </c:numCache>
            </c:numRef>
          </c:xVal>
          <c:yVal>
            <c:numRef>
              <c:f>m!$AF$144:$AO$144</c:f>
              <c:numCache>
                <c:formatCode>General</c:formatCode>
                <c:ptCount val="10"/>
                <c:pt idx="6">
                  <c:v>3.3312430589616485E-6</c:v>
                </c:pt>
                <c:pt idx="7">
                  <c:v>7.3378853424849925E-6</c:v>
                </c:pt>
                <c:pt idx="8">
                  <c:v>7.8223319203516646E-6</c:v>
                </c:pt>
                <c:pt idx="9">
                  <c:v>6.8921883590877108E-6</c:v>
                </c:pt>
              </c:numCache>
            </c:numRef>
          </c:yVal>
          <c:smooth val="0"/>
          <c:extLst xmlns:c15="http://schemas.microsoft.com/office/drawing/2012/chart">
            <c:ext xmlns:c16="http://schemas.microsoft.com/office/drawing/2014/chart" uri="{C3380CC4-5D6E-409C-BE32-E72D297353CC}">
              <c16:uniqueId val="{00000000-ABDB-45DF-A6E6-2035B0847662}"/>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m!$AP$136:$BL$136</c:f>
              <c:numCache>
                <c:formatCode>General</c:formatCode>
                <c:ptCount val="23"/>
                <c:pt idx="0">
                  <c:v>0.87758664404220332</c:v>
                </c:pt>
                <c:pt idx="1">
                  <c:v>1.3074036031223182</c:v>
                </c:pt>
                <c:pt idx="2">
                  <c:v>2.5715201139747297</c:v>
                </c:pt>
                <c:pt idx="3">
                  <c:v>3.954965066154386</c:v>
                </c:pt>
                <c:pt idx="4">
                  <c:v>5.5317355430904875</c:v>
                </c:pt>
                <c:pt idx="19">
                  <c:v>0.85445300673745028</c:v>
                </c:pt>
                <c:pt idx="20">
                  <c:v>1.762675703425572</c:v>
                </c:pt>
                <c:pt idx="21">
                  <c:v>1.3296823406377316</c:v>
                </c:pt>
              </c:numCache>
            </c:numRef>
          </c:xVal>
          <c:yVal>
            <c:numRef>
              <c:f>m!$AP$144:$BL$144</c:f>
              <c:numCache>
                <c:formatCode>General</c:formatCode>
                <c:ptCount val="23"/>
                <c:pt idx="0">
                  <c:v>1.0263611254753252E-8</c:v>
                </c:pt>
                <c:pt idx="1">
                  <c:v>5.4112472106500152E-8</c:v>
                </c:pt>
                <c:pt idx="2">
                  <c:v>3.3451213963983326E-6</c:v>
                </c:pt>
                <c:pt idx="3">
                  <c:v>4.3594060864600906E-5</c:v>
                </c:pt>
                <c:pt idx="4">
                  <c:v>3.1777763177394993E-4</c:v>
                </c:pt>
                <c:pt idx="19">
                  <c:v>2.8557320014565028E-8</c:v>
                </c:pt>
                <c:pt idx="20">
                  <c:v>1.0745204086109024E-6</c:v>
                </c:pt>
                <c:pt idx="21">
                  <c:v>8.0998261714627658E-8</c:v>
                </c:pt>
              </c:numCache>
            </c:numRef>
          </c:yVal>
          <c:smooth val="0"/>
          <c:extLst xmlns:c15="http://schemas.microsoft.com/office/drawing/2012/chart">
            <c:ext xmlns:c16="http://schemas.microsoft.com/office/drawing/2014/chart" uri="{C3380CC4-5D6E-409C-BE32-E72D297353CC}">
              <c16:uniqueId val="{00000001-ABDB-45DF-A6E6-2035B0847662}"/>
            </c:ext>
          </c:extLst>
        </c:ser>
        <c:ser>
          <c:idx val="11"/>
          <c:order val="2"/>
          <c:tx>
            <c:v>CF, Pipe 1</c:v>
          </c:tx>
          <c:spPr>
            <a:ln w="25400" cap="rnd">
              <a:noFill/>
              <a:round/>
            </a:ln>
            <a:effectLst/>
          </c:spPr>
          <c:marker>
            <c:symbol val="x"/>
            <c:size val="7"/>
            <c:spPr>
              <a:noFill/>
              <a:ln w="15875">
                <a:solidFill>
                  <a:schemeClr val="accent6"/>
                </a:solidFill>
              </a:ln>
              <a:effectLst/>
            </c:spPr>
          </c:marker>
          <c:xVal>
            <c:numRef>
              <c:f>m!$BM$136:$CO$136</c:f>
              <c:numCache>
                <c:formatCode>General</c:formatCode>
                <c:ptCount val="29"/>
              </c:numCache>
            </c:numRef>
          </c:xVal>
          <c:yVal>
            <c:numRef>
              <c:f>m!$BM$144:$CO$144</c:f>
              <c:numCache>
                <c:formatCode>General</c:formatCode>
                <c:ptCount val="29"/>
              </c:numCache>
            </c:numRef>
          </c:yVal>
          <c:smooth val="0"/>
          <c:extLst xmlns:c15="http://schemas.microsoft.com/office/drawing/2012/chart">
            <c:ext xmlns:c16="http://schemas.microsoft.com/office/drawing/2014/chart" uri="{C3380CC4-5D6E-409C-BE32-E72D297353CC}">
              <c16:uniqueId val="{00000002-ABDB-45DF-A6E6-2035B0847662}"/>
            </c:ext>
          </c:extLst>
        </c:ser>
        <c:ser>
          <c:idx val="13"/>
          <c:order val="3"/>
          <c:tx>
            <c:v>CF, Pipe 2</c:v>
          </c:tx>
          <c:spPr>
            <a:ln w="25400" cap="rnd">
              <a:noFill/>
              <a:round/>
            </a:ln>
            <a:effectLst/>
          </c:spPr>
          <c:marker>
            <c:symbol val="x"/>
            <c:size val="7"/>
            <c:spPr>
              <a:noFill/>
              <a:ln w="15875">
                <a:solidFill>
                  <a:srgbClr val="00B0F0"/>
                </a:solidFill>
              </a:ln>
              <a:effectLst/>
            </c:spPr>
          </c:marker>
          <c:xVal>
            <c:numRef>
              <c:f>m!$CP$136:$DT$136</c:f>
              <c:numCache>
                <c:formatCode>General</c:formatCode>
                <c:ptCount val="31"/>
                <c:pt idx="23">
                  <c:v>5.4616805280644583</c:v>
                </c:pt>
                <c:pt idx="24">
                  <c:v>9.3881308400269585</c:v>
                </c:pt>
                <c:pt idx="25">
                  <c:v>6.6301156322246957</c:v>
                </c:pt>
                <c:pt idx="27">
                  <c:v>8.9302718911312038</c:v>
                </c:pt>
              </c:numCache>
            </c:numRef>
          </c:xVal>
          <c:yVal>
            <c:numRef>
              <c:f>m!$CP$144:$DT$144</c:f>
              <c:numCache>
                <c:formatCode>General</c:formatCode>
                <c:ptCount val="31"/>
                <c:pt idx="23">
                  <c:v>1.8387319102188966E-4</c:v>
                </c:pt>
                <c:pt idx="24">
                  <c:v>3.270827675143897E-3</c:v>
                </c:pt>
                <c:pt idx="25">
                  <c:v>1.3182300064528095E-3</c:v>
                </c:pt>
                <c:pt idx="27">
                  <c:v>1.4887269718444939E-3</c:v>
                </c:pt>
              </c:numCache>
            </c:numRef>
          </c:yVal>
          <c:smooth val="0"/>
          <c:extLst xmlns:c15="http://schemas.microsoft.com/office/drawing/2012/chart">
            <c:ext xmlns:c16="http://schemas.microsoft.com/office/drawing/2014/chart" uri="{C3380CC4-5D6E-409C-BE32-E72D297353CC}">
              <c16:uniqueId val="{00000003-ABDB-45DF-A6E6-2035B0847662}"/>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m!$DU$136:$DX$136</c:f>
              <c:numCache>
                <c:formatCode>General</c:formatCode>
                <c:ptCount val="4"/>
                <c:pt idx="1">
                  <c:v>3.7649826229949488</c:v>
                </c:pt>
              </c:numCache>
            </c:numRef>
          </c:xVal>
          <c:yVal>
            <c:numRef>
              <c:f>m!$DU$144:$DX$144</c:f>
              <c:numCache>
                <c:formatCode>General</c:formatCode>
                <c:ptCount val="4"/>
                <c:pt idx="1">
                  <c:v>1.6569673554887655E-3</c:v>
                </c:pt>
              </c:numCache>
            </c:numRef>
          </c:yVal>
          <c:smooth val="0"/>
          <c:extLst xmlns:c15="http://schemas.microsoft.com/office/drawing/2012/chart">
            <c:ext xmlns:c16="http://schemas.microsoft.com/office/drawing/2014/chart" uri="{C3380CC4-5D6E-409C-BE32-E72D297353CC}">
              <c16:uniqueId val="{00000004-ABDB-45DF-A6E6-2035B0847662}"/>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m!$DY$136:$EL$136</c:f>
              <c:numCache>
                <c:formatCode>General</c:formatCode>
                <c:ptCount val="14"/>
                <c:pt idx="0">
                  <c:v>0.95944318952665708</c:v>
                </c:pt>
                <c:pt idx="1">
                  <c:v>4.0478778131308895</c:v>
                </c:pt>
                <c:pt idx="2">
                  <c:v>7.094716690461337</c:v>
                </c:pt>
                <c:pt idx="3">
                  <c:v>9.8213071433888182</c:v>
                </c:pt>
              </c:numCache>
            </c:numRef>
          </c:xVal>
          <c:yVal>
            <c:numRef>
              <c:f>m!$DY$144:$EL$144</c:f>
              <c:numCache>
                <c:formatCode>General</c:formatCode>
                <c:ptCount val="14"/>
                <c:pt idx="0">
                  <c:v>3.3957590883779812E-6</c:v>
                </c:pt>
                <c:pt idx="1">
                  <c:v>1.1197104351254271E-3</c:v>
                </c:pt>
                <c:pt idx="2">
                  <c:v>8.646384171384195E-3</c:v>
                </c:pt>
                <c:pt idx="3">
                  <c:v>5.0198044903397777E-2</c:v>
                </c:pt>
              </c:numCache>
            </c:numRef>
          </c:yVal>
          <c:smooth val="0"/>
          <c:extLst xmlns:c15="http://schemas.microsoft.com/office/drawing/2012/chart">
            <c:ext xmlns:c16="http://schemas.microsoft.com/office/drawing/2014/chart" uri="{C3380CC4-5D6E-409C-BE32-E72D297353CC}">
              <c16:uniqueId val="{00000005-ABDB-45DF-A6E6-2035B0847662}"/>
            </c:ext>
          </c:extLst>
        </c:ser>
        <c:ser>
          <c:idx val="1"/>
          <c:order val="12"/>
          <c:tx>
            <c:v>F105 CF</c:v>
          </c:tx>
          <c:spPr>
            <a:ln w="19050" cap="rnd">
              <a:solidFill>
                <a:schemeClr val="bg1">
                  <a:lumMod val="65000"/>
                </a:schemeClr>
              </a:solidFill>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'c'!$J$277:$J$387</c:f>
              <c:numCache>
                <c:formatCode>General</c:formatCode>
                <c:ptCount val="111"/>
                <c:pt idx="1">
                  <c:v>1.1934142024121279E-10</c:v>
                </c:pt>
                <c:pt idx="2">
                  <c:v>5.8601647120351191E-10</c:v>
                </c:pt>
                <c:pt idx="3">
                  <c:v>1.3192456613036392E-9</c:v>
                </c:pt>
                <c:pt idx="4">
                  <c:v>2.271259252542075E-9</c:v>
                </c:pt>
                <c:pt idx="5">
                  <c:v>3.4183821335086984E-9</c:v>
                </c:pt>
                <c:pt idx="6">
                  <c:v>4.7486827086819816E-9</c:v>
                </c:pt>
                <c:pt idx="7">
                  <c:v>6.257152762444087E-9</c:v>
                </c:pt>
                <c:pt idx="8">
                  <c:v>7.9435562419740368E-9</c:v>
                </c:pt>
                <c:pt idx="9">
                  <c:v>9.8114222247120654E-9</c:v>
                </c:pt>
                <c:pt idx="10">
                  <c:v>1.1374507408180703E-8</c:v>
                </c:pt>
                <c:pt idx="11">
                  <c:v>1.1673474465614144E-8</c:v>
                </c:pt>
                <c:pt idx="12">
                  <c:v>2.0264645424790136E-8</c:v>
                </c:pt>
                <c:pt idx="13">
                  <c:v>2.4739861677586068E-8</c:v>
                </c:pt>
                <c:pt idx="14">
                  <c:v>2.8987397332260139E-8</c:v>
                </c:pt>
                <c:pt idx="15">
                  <c:v>3.5298224045996233E-8</c:v>
                </c:pt>
                <c:pt idx="16">
                  <c:v>4.8911174865287834E-8</c:v>
                </c:pt>
                <c:pt idx="17">
                  <c:v>6.1007977288460242E-8</c:v>
                </c:pt>
                <c:pt idx="18">
                  <c:v>7.4421787666386599E-8</c:v>
                </c:pt>
                <c:pt idx="19">
                  <c:v>6.4463953108606614E-7</c:v>
                </c:pt>
                <c:pt idx="20">
                  <c:v>7.8761767740424494E-7</c:v>
                </c:pt>
                <c:pt idx="21">
                  <c:v>2.2582933496242946E-6</c:v>
                </c:pt>
                <c:pt idx="22">
                  <c:v>2.9142366444659832E-6</c:v>
                </c:pt>
                <c:pt idx="23">
                  <c:v>3.7911356050073115E-6</c:v>
                </c:pt>
                <c:pt idx="24">
                  <c:v>6.1292229585230439E-6</c:v>
                </c:pt>
                <c:pt idx="25">
                  <c:v>8.9967233568530302E-6</c:v>
                </c:pt>
                <c:pt idx="26">
                  <c:v>1.233609164877394E-5</c:v>
                </c:pt>
                <c:pt idx="27">
                  <c:v>1.613561262893877E-5</c:v>
                </c:pt>
                <c:pt idx="28">
                  <c:v>2.0389032359386123E-5</c:v>
                </c:pt>
                <c:pt idx="29">
                  <c:v>2.7896522120382277E-5</c:v>
                </c:pt>
                <c:pt idx="30">
                  <c:v>3.4147753108393163E-5</c:v>
                </c:pt>
                <c:pt idx="31">
                  <c:v>4.1029949611978959E-5</c:v>
                </c:pt>
                <c:pt idx="32">
                  <c:v>4.8544273969271533E-5</c:v>
                </c:pt>
                <c:pt idx="33">
                  <c:v>5.6692727932485921E-5</c:v>
                </c:pt>
                <c:pt idx="34">
                  <c:v>6.5477982696394578E-5</c:v>
                </c:pt>
                <c:pt idx="35">
                  <c:v>7.4903260556928055E-5</c:v>
                </c:pt>
                <c:pt idx="36">
                  <c:v>8.4972256616025723E-5</c:v>
                </c:pt>
                <c:pt idx="37">
                  <c:v>9.6991935895223658E-5</c:v>
                </c:pt>
                <c:pt idx="38">
                  <c:v>1.1021353296924801E-4</c:v>
                </c:pt>
                <c:pt idx="39">
                  <c:v>1.244148965147945E-4</c:v>
                </c:pt>
                <c:pt idx="40">
                  <c:v>1.3960614408876169E-4</c:v>
                </c:pt>
                <c:pt idx="41">
                  <c:v>1.5579733824399569E-4</c:v>
                </c:pt>
                <c:pt idx="42">
                  <c:v>1.7299851051530958E-4</c:v>
                </c:pt>
                <c:pt idx="43">
                  <c:v>1.91219695776541E-4</c:v>
                </c:pt>
                <c:pt idx="44">
                  <c:v>2.0150243389988355E-4</c:v>
                </c:pt>
                <c:pt idx="45">
                  <c:v>2.0943177966555181E-4</c:v>
                </c:pt>
                <c:pt idx="46">
                  <c:v>2.1759298017943473E-4</c:v>
                </c:pt>
                <c:pt idx="47">
                  <c:v>2.2598350885008809E-4</c:v>
                </c:pt>
                <c:pt idx="48">
                  <c:v>2.3460143566237412E-4</c:v>
                </c:pt>
                <c:pt idx="49">
                  <c:v>2.4344532625639415E-4</c:v>
                </c:pt>
                <c:pt idx="50">
                  <c:v>2.5251416310686402E-4</c:v>
                </c:pt>
                <c:pt idx="51">
                  <c:v>2.6180728188418458E-4</c:v>
                </c:pt>
                <c:pt idx="52">
                  <c:v>2.7132432307696745E-4</c:v>
                </c:pt>
                <c:pt idx="53">
                  <c:v>2.8106519194730901E-4</c:v>
                </c:pt>
                <c:pt idx="54">
                  <c:v>2.9103002889264317E-4</c:v>
                </c:pt>
                <c:pt idx="55">
                  <c:v>3.0121918506770127E-4</c:v>
                </c:pt>
                <c:pt idx="56">
                  <c:v>3.1163320369643127E-4</c:v>
                </c:pt>
                <c:pt idx="57">
                  <c:v>3.2227280577636834E-4</c:v>
                </c:pt>
                <c:pt idx="58">
                  <c:v>3.3313887902520437E-4</c:v>
                </c:pt>
                <c:pt idx="59">
                  <c:v>3.442324713263655E-4</c:v>
                </c:pt>
                <c:pt idx="60">
                  <c:v>3.5555478386162432E-4</c:v>
                </c:pt>
                <c:pt idx="61">
                  <c:v>3.6710716902530827E-4</c:v>
                </c:pt>
                <c:pt idx="62">
                  <c:v>3.7889112888374104E-4</c:v>
                </c:pt>
                <c:pt idx="63">
                  <c:v>3.9090831599078636E-4</c:v>
                </c:pt>
                <c:pt idx="64">
                  <c:v>5.2710751318539584E-4</c:v>
                </c:pt>
                <c:pt idx="65">
                  <c:v>5.8122693562820697E-4</c:v>
                </c:pt>
                <c:pt idx="66">
                  <c:v>6.1196489842134697E-4</c:v>
                </c:pt>
                <c:pt idx="67">
                  <c:v>6.4366673031445278E-4</c:v>
                </c:pt>
                <c:pt idx="68">
                  <c:v>6.7690138242371622E-4</c:v>
                </c:pt>
                <c:pt idx="69">
                  <c:v>7.1220015311268764E-4</c:v>
                </c:pt>
                <c:pt idx="70">
                  <c:v>9.2373423117274658E-4</c:v>
                </c:pt>
                <c:pt idx="71">
                  <c:v>9.7197946815747404E-4</c:v>
                </c:pt>
                <c:pt idx="72">
                  <c:v>1.0215806075401339E-3</c:v>
                </c:pt>
                <c:pt idx="73">
                  <c:v>1.0725414525127788E-3</c:v>
                </c:pt>
                <c:pt idx="74">
                  <c:v>1.1248656960866387E-3</c:v>
                </c:pt>
                <c:pt idx="75">
                  <c:v>1.1785569182588514E-3</c:v>
                </c:pt>
                <c:pt idx="76">
                  <c:v>1.2336186015943873E-3</c:v>
                </c:pt>
                <c:pt idx="77">
                  <c:v>1.2900541459188893E-3</c:v>
                </c:pt>
                <c:pt idx="78">
                  <c:v>2.3417947460872075E-3</c:v>
                </c:pt>
                <c:pt idx="79">
                  <c:v>2.4039621873699871E-3</c:v>
                </c:pt>
                <c:pt idx="80">
                  <c:v>2.4670148846957095E-3</c:v>
                </c:pt>
                <c:pt idx="81">
                  <c:v>2.5309505094194963E-3</c:v>
                </c:pt>
                <c:pt idx="82">
                  <c:v>2.5957668200473033E-3</c:v>
                </c:pt>
                <c:pt idx="83">
                  <c:v>2.6614616797110205E-3</c:v>
                </c:pt>
                <c:pt idx="84">
                  <c:v>2.7280330239474833E-3</c:v>
                </c:pt>
                <c:pt idx="85">
                  <c:v>2.7954788771231342E-3</c:v>
                </c:pt>
                <c:pt idx="86">
                  <c:v>2.8637973290220782E-3</c:v>
                </c:pt>
                <c:pt idx="87">
                  <c:v>2.9329865335208033E-3</c:v>
                </c:pt>
                <c:pt idx="88">
                  <c:v>3.0080827599342792E-3</c:v>
                </c:pt>
                <c:pt idx="89">
                  <c:v>3.0855483338062431E-3</c:v>
                </c:pt>
                <c:pt idx="90">
                  <c:v>3.164205224460375E-3</c:v>
                </c:pt>
                <c:pt idx="91">
                  <c:v>3.2440521012868664E-3</c:v>
                </c:pt>
                <c:pt idx="92">
                  <c:v>3.3250877348839475E-3</c:v>
                </c:pt>
                <c:pt idx="93">
                  <c:v>3.4073109653295873E-3</c:v>
                </c:pt>
                <c:pt idx="94">
                  <c:v>3.6154853455104192E-3</c:v>
                </c:pt>
                <c:pt idx="95">
                  <c:v>3.7122375022227063E-3</c:v>
                </c:pt>
                <c:pt idx="96">
                  <c:v>3.8105401316618909E-3</c:v>
                </c:pt>
                <c:pt idx="97">
                  <c:v>3.910393669027336E-3</c:v>
                </c:pt>
                <c:pt idx="98">
                  <c:v>4.011798567237033E-3</c:v>
                </c:pt>
                <c:pt idx="99">
                  <c:v>4.1147552944635355E-3</c:v>
                </c:pt>
                <c:pt idx="100">
                  <c:v>4.219264316767112E-3</c:v>
                </c:pt>
                <c:pt idx="101">
                  <c:v>4.3253261092453766E-3</c:v>
                </c:pt>
                <c:pt idx="102">
                  <c:v>4.542109889913418E-3</c:v>
                </c:pt>
                <c:pt idx="103">
                  <c:v>4.7676271276182016E-3</c:v>
                </c:pt>
                <c:pt idx="104">
                  <c:v>5.0119615167507374E-3</c:v>
                </c:pt>
                <c:pt idx="105">
                  <c:v>5.263477972302027E-3</c:v>
                </c:pt>
                <c:pt idx="106">
                  <c:v>5.5221879927329328E-3</c:v>
                </c:pt>
                <c:pt idx="107">
                  <c:v>5.7881022964053315E-3</c:v>
                </c:pt>
                <c:pt idx="108">
                  <c:v>6.061230866799946E-3</c:v>
                </c:pt>
                <c:pt idx="109">
                  <c:v>6.3415829600034085E-3</c:v>
                </c:pt>
                <c:pt idx="110">
                  <c:v>6.6291671711631549E-3</c:v>
                </c:pt>
              </c:numCache>
            </c:numRef>
          </c:yVal>
          <c:smooth val="0"/>
          <c:extLst>
            <c:ext xmlns:c16="http://schemas.microsoft.com/office/drawing/2014/chart" uri="{C3380CC4-5D6E-409C-BE32-E72D297353CC}">
              <c16:uniqueId val="{0000000C-ABDB-45DF-A6E6-2035B0847662}"/>
            </c:ext>
          </c:extLst>
        </c:ser>
        <c:ser>
          <c:idx val="3"/>
          <c:order val="14"/>
          <c:tx>
            <c:v>F105 CF with arch action</c:v>
          </c:tx>
          <c:spPr>
            <a:ln w="19050" cap="rnd">
              <a:solidFill>
                <a:schemeClr val="tx1"/>
              </a:solidFill>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'c'!$L$277:$L$387</c:f>
              <c:numCache>
                <c:formatCode>General</c:formatCode>
                <c:ptCount val="111"/>
                <c:pt idx="1">
                  <c:v>3.9748473376700903E-11</c:v>
                </c:pt>
                <c:pt idx="2">
                  <c:v>3.1548983143620638E-10</c:v>
                </c:pt>
                <c:pt idx="3">
                  <c:v>8.2709284133178666E-10</c:v>
                </c:pt>
                <c:pt idx="4">
                  <c:v>1.5366183402099433E-9</c:v>
                </c:pt>
                <c:pt idx="5">
                  <c:v>2.4189173757129786E-9</c:v>
                </c:pt>
                <c:pt idx="6">
                  <c:v>3.4573548328096675E-9</c:v>
                </c:pt>
                <c:pt idx="7">
                  <c:v>4.640610085572926E-9</c:v>
                </c:pt>
                <c:pt idx="8">
                  <c:v>5.9608672817158404E-9</c:v>
                </c:pt>
                <c:pt idx="9">
                  <c:v>7.4127633828189754E-9</c:v>
                </c:pt>
                <c:pt idx="10">
                  <c:v>8.9927460003567778E-9</c:v>
                </c:pt>
                <c:pt idx="11">
                  <c:v>1.0073166827430612E-8</c:v>
                </c:pt>
                <c:pt idx="12">
                  <c:v>2.8751053476286564E-8</c:v>
                </c:pt>
                <c:pt idx="13">
                  <c:v>3.6807662354261372E-8</c:v>
                </c:pt>
                <c:pt idx="14">
                  <c:v>4.7205611261647893E-8</c:v>
                </c:pt>
                <c:pt idx="15">
                  <c:v>5.8873394548549548E-8</c:v>
                </c:pt>
                <c:pt idx="16">
                  <c:v>7.1415651564199197E-8</c:v>
                </c:pt>
                <c:pt idx="17">
                  <c:v>8.9020798085469034E-8</c:v>
                </c:pt>
                <c:pt idx="18">
                  <c:v>1.00722043576125E-7</c:v>
                </c:pt>
                <c:pt idx="19">
                  <c:v>1.1384338126775429E-7</c:v>
                </c:pt>
                <c:pt idx="20">
                  <c:v>1.315694872885549E-7</c:v>
                </c:pt>
                <c:pt idx="21">
                  <c:v>2.2708166827268179E-6</c:v>
                </c:pt>
                <c:pt idx="22">
                  <c:v>2.9262877948176267E-6</c:v>
                </c:pt>
                <c:pt idx="23">
                  <c:v>3.8055698943758381E-6</c:v>
                </c:pt>
                <c:pt idx="24">
                  <c:v>6.189740491438829E-6</c:v>
                </c:pt>
                <c:pt idx="25">
                  <c:v>9.0805005768239285E-6</c:v>
                </c:pt>
                <c:pt idx="26">
                  <c:v>1.2445336987867594E-5</c:v>
                </c:pt>
                <c:pt idx="27">
                  <c:v>1.6271654859685054E-5</c:v>
                </c:pt>
                <c:pt idx="28">
                  <c:v>2.0552930381027251E-5</c:v>
                </c:pt>
                <c:pt idx="29">
                  <c:v>2.8100851363580337E-5</c:v>
                </c:pt>
                <c:pt idx="30">
                  <c:v>3.43854463610133E-5</c:v>
                </c:pt>
                <c:pt idx="31">
                  <c:v>4.1302009275195946E-5</c:v>
                </c:pt>
                <c:pt idx="32">
                  <c:v>4.8851578846515178E-5</c:v>
                </c:pt>
                <c:pt idx="33">
                  <c:v>5.7036059614634993E-5</c:v>
                </c:pt>
                <c:pt idx="34">
                  <c:v>6.585804564631643E-5</c:v>
                </c:pt>
                <c:pt idx="35">
                  <c:v>7.5320697616824527E-5</c:v>
                </c:pt>
                <c:pt idx="36">
                  <c:v>8.5427661165195665E-5</c:v>
                </c:pt>
                <c:pt idx="37">
                  <c:v>9.748973710081314E-5</c:v>
                </c:pt>
                <c:pt idx="38">
                  <c:v>1.1075565674417104E-4</c:v>
                </c:pt>
                <c:pt idx="39">
                  <c:v>1.2500238263950028E-4</c:v>
                </c:pt>
                <c:pt idx="40">
                  <c:v>1.4023996571886177E-4</c:v>
                </c:pt>
                <c:pt idx="41">
                  <c:v>1.5647841125888631E-4</c:v>
                </c:pt>
                <c:pt idx="42">
                  <c:v>1.7372770154447674E-4</c:v>
                </c:pt>
                <c:pt idx="43">
                  <c:v>1.9199782914309236E-4</c:v>
                </c:pt>
                <c:pt idx="44">
                  <c:v>2.0229701614951089E-4</c:v>
                </c:pt>
                <c:pt idx="45">
                  <c:v>2.1022720398638652E-4</c:v>
                </c:pt>
                <c:pt idx="46">
                  <c:v>2.1838968985048781E-4</c:v>
                </c:pt>
                <c:pt idx="47">
                  <c:v>2.2678190085060582E-4</c:v>
                </c:pt>
                <c:pt idx="48">
                  <c:v>2.3540186744940432E-4</c:v>
                </c:pt>
                <c:pt idx="49">
                  <c:v>2.4424812142266188E-4</c:v>
                </c:pt>
                <c:pt idx="50">
                  <c:v>2.5331961613057078E-4</c:v>
                </c:pt>
                <c:pt idx="51">
                  <c:v>2.6261566213610886E-4</c:v>
                </c:pt>
                <c:pt idx="52">
                  <c:v>2.7213587822231877E-4</c:v>
                </c:pt>
                <c:pt idx="53">
                  <c:v>2.8188015084589684E-4</c:v>
                </c:pt>
                <c:pt idx="54">
                  <c:v>2.918486040877735E-4</c:v>
                </c:pt>
                <c:pt idx="55">
                  <c:v>3.0204157493058097E-4</c:v>
                </c:pt>
                <c:pt idx="56">
                  <c:v>3.1245959428467411E-4</c:v>
                </c:pt>
                <c:pt idx="57">
                  <c:v>3.2310337245202E-4</c:v>
                </c:pt>
                <c:pt idx="58">
                  <c:v>3.3397378787133598E-4</c:v>
                </c:pt>
                <c:pt idx="59">
                  <c:v>3.4507188039552055E-4</c:v>
                </c:pt>
                <c:pt idx="60">
                  <c:v>3.5639884427829247E-4</c:v>
                </c:pt>
                <c:pt idx="61">
                  <c:v>3.6795602596830678E-4</c:v>
                </c:pt>
                <c:pt idx="62">
                  <c:v>3.7974492246525674E-4</c:v>
                </c:pt>
                <c:pt idx="63">
                  <c:v>3.9176718204993779E-4</c:v>
                </c:pt>
                <c:pt idx="64">
                  <c:v>5.2778475018266176E-4</c:v>
                </c:pt>
                <c:pt idx="65">
                  <c:v>5.8192145089132092E-4</c:v>
                </c:pt>
                <c:pt idx="66">
                  <c:v>6.1267273771247518E-4</c:v>
                </c:pt>
                <c:pt idx="67">
                  <c:v>6.4438791796547377E-4</c:v>
                </c:pt>
                <c:pt idx="68">
                  <c:v>6.7761726322207341E-4</c:v>
                </c:pt>
                <c:pt idx="69">
                  <c:v>7.1292997875586277E-4</c:v>
                </c:pt>
                <c:pt idx="70">
                  <c:v>9.2383395008644115E-4</c:v>
                </c:pt>
                <c:pt idx="71">
                  <c:v>9.7208346143493746E-4</c:v>
                </c:pt>
                <c:pt idx="72">
                  <c:v>1.0216889297659502E-3</c:v>
                </c:pt>
                <c:pt idx="73">
                  <c:v>1.0726541564866042E-3</c:v>
                </c:pt>
                <c:pt idx="74">
                  <c:v>1.1249828328874097E-3</c:v>
                </c:pt>
                <c:pt idx="75">
                  <c:v>1.1786785373050454E-3</c:v>
                </c:pt>
                <c:pt idx="76">
                  <c:v>1.2337447507031253E-3</c:v>
                </c:pt>
                <c:pt idx="77">
                  <c:v>1.2901848713639168E-3</c:v>
                </c:pt>
                <c:pt idx="78">
                  <c:v>2.3422353009023475E-3</c:v>
                </c:pt>
                <c:pt idx="79">
                  <c:v>2.4044086995741684E-3</c:v>
                </c:pt>
                <c:pt idx="80">
                  <c:v>2.4674673730600122E-3</c:v>
                </c:pt>
                <c:pt idx="81">
                  <c:v>2.5314089915776487E-3</c:v>
                </c:pt>
                <c:pt idx="82">
                  <c:v>2.5962313125594888E-3</c:v>
                </c:pt>
                <c:pt idx="83">
                  <c:v>2.6619321981300277E-3</c:v>
                </c:pt>
                <c:pt idx="84">
                  <c:v>2.7285095828734401E-3</c:v>
                </c:pt>
                <c:pt idx="85">
                  <c:v>2.7959614902604473E-3</c:v>
                </c:pt>
                <c:pt idx="86">
                  <c:v>2.8642860092275547E-3</c:v>
                </c:pt>
                <c:pt idx="87">
                  <c:v>2.9334812928498251E-3</c:v>
                </c:pt>
                <c:pt idx="88">
                  <c:v>3.0085844360516587E-3</c:v>
                </c:pt>
                <c:pt idx="89">
                  <c:v>3.08605718294397E-3</c:v>
                </c:pt>
                <c:pt idx="90">
                  <c:v>3.1647212887782306E-3</c:v>
                </c:pt>
                <c:pt idx="91">
                  <c:v>3.2445754213873963E-3</c:v>
                </c:pt>
                <c:pt idx="92">
                  <c:v>3.325618349890677E-3</c:v>
                </c:pt>
                <c:pt idx="93">
                  <c:v>3.4078489129540299E-3</c:v>
                </c:pt>
                <c:pt idx="94">
                  <c:v>3.6160339540661736E-3</c:v>
                </c:pt>
                <c:pt idx="95">
                  <c:v>3.7127944527576527E-3</c:v>
                </c:pt>
                <c:pt idx="96">
                  <c:v>3.8111054706047912E-3</c:v>
                </c:pt>
                <c:pt idx="97">
                  <c:v>3.9109674413678715E-3</c:v>
                </c:pt>
                <c:pt idx="98">
                  <c:v>4.0123808165849718E-3</c:v>
                </c:pt>
                <c:pt idx="99">
                  <c:v>4.1153460631056004E-3</c:v>
                </c:pt>
                <c:pt idx="100">
                  <c:v>4.2198636457167942E-3</c:v>
                </c:pt>
                <c:pt idx="101">
                  <c:v>4.3259340382943625E-3</c:v>
                </c:pt>
                <c:pt idx="102">
                  <c:v>4.5427351338740039E-3</c:v>
                </c:pt>
                <c:pt idx="103">
                  <c:v>4.7682605282299579E-3</c:v>
                </c:pt>
                <c:pt idx="104">
                  <c:v>5.0126136057078189E-3</c:v>
                </c:pt>
                <c:pt idx="105">
                  <c:v>5.2641489082068125E-3</c:v>
                </c:pt>
                <c:pt idx="106">
                  <c:v>5.5228779260428455E-3</c:v>
                </c:pt>
                <c:pt idx="107">
                  <c:v>5.7888113699360822E-3</c:v>
                </c:pt>
                <c:pt idx="108">
                  <c:v>6.0619592161889214E-3</c:v>
                </c:pt>
                <c:pt idx="109">
                  <c:v>6.3423307141329197E-3</c:v>
                </c:pt>
                <c:pt idx="110">
                  <c:v>6.6299344525542828E-3</c:v>
                </c:pt>
              </c:numCache>
            </c:numRef>
          </c:yVal>
          <c:smooth val="0"/>
          <c:extLst>
            <c:ext xmlns:c16="http://schemas.microsoft.com/office/drawing/2014/chart" uri="{C3380CC4-5D6E-409C-BE32-E72D297353CC}">
              <c16:uniqueId val="{0000000E-ABDB-45DF-A6E6-2035B0847662}"/>
            </c:ext>
          </c:extLst>
        </c:ser>
        <c:ser>
          <c:idx val="26"/>
          <c:order val="15"/>
          <c:tx>
            <c:v>Eq. (17) CF</c:v>
          </c:tx>
          <c:spPr>
            <a:ln w="22225" cap="rnd">
              <a:solidFill>
                <a:schemeClr val="accent6"/>
              </a:solidFill>
              <a:round/>
            </a:ln>
            <a:effectLst/>
          </c:spPr>
          <c:marker>
            <c:symbol val="none"/>
          </c:marker>
          <c:xVal>
            <c:numRef>
              <c:f>'c'!$F$278:$F$387</c:f>
              <c:numCache>
                <c:formatCode>General</c:formatCode>
                <c:ptCount val="110"/>
                <c:pt idx="0">
                  <c:v>0.33267829875372046</c:v>
                </c:pt>
                <c:pt idx="1">
                  <c:v>0.39575656446617141</c:v>
                </c:pt>
                <c:pt idx="2">
                  <c:v>0.4381239752610987</c:v>
                </c:pt>
                <c:pt idx="3">
                  <c:v>0.47095314585805481</c:v>
                </c:pt>
                <c:pt idx="4">
                  <c:v>0.49813966592157205</c:v>
                </c:pt>
                <c:pt idx="5">
                  <c:v>0.52154559001759349</c:v>
                </c:pt>
                <c:pt idx="6">
                  <c:v>0.54221900665800793</c:v>
                </c:pt>
                <c:pt idx="7">
                  <c:v>0.56081343243821846</c:v>
                </c:pt>
                <c:pt idx="8">
                  <c:v>0.57776621465058287</c:v>
                </c:pt>
                <c:pt idx="9">
                  <c:v>0.59338565253686926</c:v>
                </c:pt>
                <c:pt idx="10">
                  <c:v>0.60281476301413028</c:v>
                </c:pt>
                <c:pt idx="11">
                  <c:v>0.71942354220977323</c:v>
                </c:pt>
                <c:pt idx="12">
                  <c:v>0.79899102696837254</c:v>
                </c:pt>
                <c:pt idx="13">
                  <c:v>0.8615932124770711</c:v>
                </c:pt>
                <c:pt idx="14">
                  <c:v>0.91421167354847854</c:v>
                </c:pt>
                <c:pt idx="15">
                  <c:v>0.96017509786639244</c:v>
                </c:pt>
                <c:pt idx="16">
                  <c:v>1.0013523954863526</c:v>
                </c:pt>
                <c:pt idx="17">
                  <c:v>1.0389059681607336</c:v>
                </c:pt>
                <c:pt idx="18">
                  <c:v>1.0736117603431587</c:v>
                </c:pt>
                <c:pt idx="19">
                  <c:v>1.1060153724490303</c:v>
                </c:pt>
                <c:pt idx="20">
                  <c:v>1.3593114846545298</c:v>
                </c:pt>
                <c:pt idx="21">
                  <c:v>1.5519544609164551</c:v>
                </c:pt>
                <c:pt idx="22">
                  <c:v>1.7177124856520969</c:v>
                </c:pt>
                <c:pt idx="23">
                  <c:v>1.8679819295741455</c:v>
                </c:pt>
                <c:pt idx="24">
                  <c:v>2.0080465492169632</c:v>
                </c:pt>
                <c:pt idx="25">
                  <c:v>2.1407975034095226</c:v>
                </c:pt>
                <c:pt idx="26">
                  <c:v>2.2679919604819596</c:v>
                </c:pt>
                <c:pt idx="27">
                  <c:v>2.3907796003245791</c:v>
                </c:pt>
                <c:pt idx="28">
                  <c:v>2.5099553283107761</c:v>
                </c:pt>
                <c:pt idx="29">
                  <c:v>2.626093014352795</c:v>
                </c:pt>
                <c:pt idx="30">
                  <c:v>2.7396216640525002</c:v>
                </c:pt>
                <c:pt idx="31">
                  <c:v>2.8508713737224554</c:v>
                </c:pt>
                <c:pt idx="32">
                  <c:v>2.9601023770646941</c:v>
                </c:pt>
                <c:pt idx="33">
                  <c:v>3.0675241265171453</c:v>
                </c:pt>
                <c:pt idx="34">
                  <c:v>3.1733082431755895</c:v>
                </c:pt>
                <c:pt idx="35">
                  <c:v>3.2775975546217837</c:v>
                </c:pt>
                <c:pt idx="36">
                  <c:v>3.3805125576606585</c:v>
                </c:pt>
                <c:pt idx="37">
                  <c:v>3.4821561394951028</c:v>
                </c:pt>
                <c:pt idx="38">
                  <c:v>3.5826170926931469</c:v>
                </c:pt>
                <c:pt idx="39">
                  <c:v>3.6819727769082746</c:v>
                </c:pt>
                <c:pt idx="40">
                  <c:v>3.7802911655237672</c:v>
                </c:pt>
                <c:pt idx="41">
                  <c:v>3.8776324413028918</c:v>
                </c:pt>
                <c:pt idx="42">
                  <c:v>3.9740502562164406</c:v>
                </c:pt>
                <c:pt idx="43">
                  <c:v>4.0695927376681276</c:v>
                </c:pt>
                <c:pt idx="44">
                  <c:v>4.1643033007270569</c:v>
                </c:pt>
                <c:pt idx="45">
                  <c:v>4.2582213101981523</c:v>
                </c:pt>
                <c:pt idx="46">
                  <c:v>4.3513826251808867</c:v>
                </c:pt>
                <c:pt idx="47">
                  <c:v>4.44382005073171</c:v>
                </c:pt>
                <c:pt idx="48">
                  <c:v>4.535563715395309</c:v>
                </c:pt>
                <c:pt idx="49">
                  <c:v>4.6266413890586833</c:v>
                </c:pt>
                <c:pt idx="50">
                  <c:v>4.7170787523691358</c:v>
                </c:pt>
                <c:pt idx="51">
                  <c:v>4.8068996265376835</c:v>
                </c:pt>
                <c:pt idx="52">
                  <c:v>4.896126170509346</c:v>
                </c:pt>
                <c:pt idx="53">
                  <c:v>4.9847790510694718</c:v>
                </c:pt>
                <c:pt idx="54">
                  <c:v>5.0728775903620189</c:v>
                </c:pt>
                <c:pt idx="55">
                  <c:v>5.1604398944423906</c:v>
                </c:pt>
                <c:pt idx="56">
                  <c:v>5.2474829658163875</c:v>
                </c:pt>
                <c:pt idx="57">
                  <c:v>5.3340228023852623</c:v>
                </c:pt>
                <c:pt idx="58">
                  <c:v>5.4200744847927922</c:v>
                </c:pt>
                <c:pt idx="59">
                  <c:v>5.5056522538299753</c:v>
                </c:pt>
                <c:pt idx="60">
                  <c:v>5.5907695792778966</c:v>
                </c:pt>
                <c:pt idx="61">
                  <c:v>5.6754392213459282</c:v>
                </c:pt>
                <c:pt idx="62">
                  <c:v>5.7596732856798836</c:v>
                </c:pt>
                <c:pt idx="63">
                  <c:v>5.8434832727647521</c:v>
                </c:pt>
                <c:pt idx="64">
                  <c:v>5.926880122422844</c:v>
                </c:pt>
                <c:pt idx="65">
                  <c:v>6.0098742540054682</c:v>
                </c:pt>
                <c:pt idx="66">
                  <c:v>6.0924756027906408</c:v>
                </c:pt>
                <c:pt idx="67">
                  <c:v>6.1746936530276342</c:v>
                </c:pt>
                <c:pt idx="68">
                  <c:v>6.2565374680089754</c:v>
                </c:pt>
                <c:pt idx="69">
                  <c:v>6.3380157174995215</c:v>
                </c:pt>
                <c:pt idx="70">
                  <c:v>6.4191367028092783</c:v>
                </c:pt>
                <c:pt idx="71">
                  <c:v>6.4999083797598081</c:v>
                </c:pt>
                <c:pt idx="72">
                  <c:v>6.5803383797628907</c:v>
                </c:pt>
                <c:pt idx="73">
                  <c:v>6.6604340292031985</c:v>
                </c:pt>
                <c:pt idx="74">
                  <c:v>6.7402023672937421</c:v>
                </c:pt>
                <c:pt idx="75">
                  <c:v>6.8196501625529438</c:v>
                </c:pt>
                <c:pt idx="76">
                  <c:v>6.8987839280350522</c:v>
                </c:pt>
                <c:pt idx="77">
                  <c:v>6.97760993543063</c:v>
                </c:pt>
                <c:pt idx="78">
                  <c:v>7.0561342281409294</c:v>
                </c:pt>
                <c:pt idx="79">
                  <c:v>7.1343626334186618</c:v>
                </c:pt>
                <c:pt idx="80">
                  <c:v>7.2123007736577289</c:v>
                </c:pt>
                <c:pt idx="81">
                  <c:v>7.2899540769058362</c:v>
                </c:pt>
                <c:pt idx="82">
                  <c:v>7.3673277866662845</c:v>
                </c:pt>
                <c:pt idx="83">
                  <c:v>7.4444269710484958</c:v>
                </c:pt>
                <c:pt idx="84">
                  <c:v>7.5212565313209341</c:v>
                </c:pt>
                <c:pt idx="85">
                  <c:v>7.5978212099147466</c:v>
                </c:pt>
                <c:pt idx="86">
                  <c:v>7.6741255979219227</c:v>
                </c:pt>
                <c:pt idx="87">
                  <c:v>7.7501741421274861</c:v>
                </c:pt>
                <c:pt idx="88">
                  <c:v>7.8259711516116504</c:v>
                </c:pt>
                <c:pt idx="89">
                  <c:v>7.9015208039545151</c:v>
                </c:pt>
                <c:pt idx="90">
                  <c:v>7.9768271510730058</c:v>
                </c:pt>
                <c:pt idx="91">
                  <c:v>8.0518941247170073</c:v>
                </c:pt>
                <c:pt idx="92">
                  <c:v>8.1267255416494315</c:v>
                </c:pt>
                <c:pt idx="93">
                  <c:v>8.2013251085326946</c:v>
                </c:pt>
                <c:pt idx="94">
                  <c:v>8.2756964265422575</c:v>
                </c:pt>
                <c:pt idx="95">
                  <c:v>8.3498429957261013</c:v>
                </c:pt>
                <c:pt idx="96">
                  <c:v>8.4237682191274885</c:v>
                </c:pt>
                <c:pt idx="97">
                  <c:v>8.4974754066869398</c:v>
                </c:pt>
                <c:pt idx="98">
                  <c:v>8.5709677789380798</c:v>
                </c:pt>
                <c:pt idx="99">
                  <c:v>8.6442484705107994</c:v>
                </c:pt>
                <c:pt idx="100">
                  <c:v>8.7173205334542683</c:v>
                </c:pt>
                <c:pt idx="101">
                  <c:v>8.8628505875138508</c:v>
                </c:pt>
                <c:pt idx="102">
                  <c:v>9.0075808218821223</c:v>
                </c:pt>
                <c:pt idx="103">
                  <c:v>9.1515329822958833</c:v>
                </c:pt>
                <c:pt idx="104">
                  <c:v>9.2947277601081097</c:v>
                </c:pt>
                <c:pt idx="105">
                  <c:v>9.437184865503065</c:v>
                </c:pt>
                <c:pt idx="106">
                  <c:v>9.5789230941196593</c:v>
                </c:pt>
                <c:pt idx="107">
                  <c:v>9.7199603878095537</c:v>
                </c:pt>
                <c:pt idx="108">
                  <c:v>9.8603138901621428</c:v>
                </c:pt>
                <c:pt idx="109">
                  <c:v>9.9999999973481977</c:v>
                </c:pt>
              </c:numCache>
            </c:numRef>
          </c:xVal>
          <c:yVal>
            <c:numRef>
              <c:f>'c'!$N$278:$N$387</c:f>
              <c:numCache>
                <c:formatCode>General</c:formatCode>
                <c:ptCount val="110"/>
                <c:pt idx="0">
                  <c:v>1.2338953258051881E-10</c:v>
                </c:pt>
                <c:pt idx="1">
                  <c:v>4.3718141738194607E-10</c:v>
                </c:pt>
                <c:pt idx="2">
                  <c:v>9.0416810170687262E-10</c:v>
                </c:pt>
                <c:pt idx="3">
                  <c:v>1.5040755402847718E-9</c:v>
                </c:pt>
                <c:pt idx="4">
                  <c:v>2.2230427981943394E-9</c:v>
                </c:pt>
                <c:pt idx="5">
                  <c:v>3.0506933397278447E-9</c:v>
                </c:pt>
                <c:pt idx="6">
                  <c:v>3.9788397980301784E-9</c:v>
                </c:pt>
                <c:pt idx="7">
                  <c:v>5.0007923670393106E-9</c:v>
                </c:pt>
                <c:pt idx="8">
                  <c:v>6.1109457322553457E-9</c:v>
                </c:pt>
                <c:pt idx="9">
                  <c:v>7.3045129289608201E-9</c:v>
                </c:pt>
                <c:pt idx="10">
                  <c:v>8.1125073862167554E-9</c:v>
                </c:pt>
                <c:pt idx="11">
                  <c:v>2.557761090219622E-8</c:v>
                </c:pt>
                <c:pt idx="12">
                  <c:v>4.9222463786510578E-8</c:v>
                </c:pt>
                <c:pt idx="13">
                  <c:v>7.7788868388052587E-8</c:v>
                </c:pt>
                <c:pt idx="14">
                  <c:v>1.1057204511177577E-7</c:v>
                </c:pt>
                <c:pt idx="15">
                  <c:v>1.4712244583712424E-7</c:v>
                </c:pt>
                <c:pt idx="16">
                  <c:v>1.8713171583921812E-7</c:v>
                </c:pt>
                <c:pt idx="17">
                  <c:v>2.3037836049789246E-7</c:v>
                </c:pt>
                <c:pt idx="18">
                  <c:v>2.766982625412102E-7</c:v>
                </c:pt>
                <c:pt idx="19">
                  <c:v>3.259672128258595E-7</c:v>
                </c:pt>
                <c:pt idx="20">
                  <c:v>9.6757946858570265E-7</c:v>
                </c:pt>
                <c:pt idx="21">
                  <c:v>1.8689899440027636E-6</c:v>
                </c:pt>
                <c:pt idx="22">
                  <c:v>3.0383557774552815E-6</c:v>
                </c:pt>
                <c:pt idx="23">
                  <c:v>4.4951934310927198E-6</c:v>
                </c:pt>
                <c:pt idx="24">
                  <c:v>6.2633766524939435E-6</c:v>
                </c:pt>
                <c:pt idx="25">
                  <c:v>8.3690220870723502E-6</c:v>
                </c:pt>
                <c:pt idx="26">
                  <c:v>1.0839628678422078E-5</c:v>
                </c:pt>
                <c:pt idx="27">
                  <c:v>1.3703659217482213E-5</c:v>
                </c:pt>
                <c:pt idx="28">
                  <c:v>1.699031022514771E-5</c:v>
                </c:pt>
                <c:pt idx="29">
                  <c:v>2.072937306554706E-5</c:v>
                </c:pt>
                <c:pt idx="30">
                  <c:v>2.4951143645684857E-5</c:v>
                </c:pt>
                <c:pt idx="31">
                  <c:v>2.9686359975061549E-5</c:v>
                </c:pt>
                <c:pt idx="32">
                  <c:v>3.4966156691987941E-5</c:v>
                </c:pt>
                <c:pt idx="33">
                  <c:v>4.082203046104695E-5</c:v>
                </c:pt>
                <c:pt idx="34">
                  <c:v>4.7285812649399093E-5</c:v>
                </c:pt>
                <c:pt idx="35">
                  <c:v>5.4389647069631171E-5</c:v>
                </c:pt>
                <c:pt idx="36">
                  <c:v>6.2165971373556947E-5</c:v>
                </c:pt>
                <c:pt idx="37">
                  <c:v>7.0647501160031988E-5</c:v>
                </c:pt>
                <c:pt idx="38">
                  <c:v>7.9867216157392129E-5</c:v>
                </c:pt>
                <c:pt idx="39">
                  <c:v>8.9858348031980953E-5</c:v>
                </c:pt>
                <c:pt idx="40">
                  <c:v>1.006543694999777E-4</c:v>
                </c:pt>
                <c:pt idx="41">
                  <c:v>1.1228898450473905E-4</c:v>
                </c:pt>
                <c:pt idx="42">
                  <c:v>1.2479611928064533E-4</c:v>
                </c:pt>
                <c:pt idx="43">
                  <c:v>1.3820991416597835E-4</c:v>
                </c:pt>
                <c:pt idx="44">
                  <c:v>1.5256471605725266E-4</c:v>
                </c:pt>
                <c:pt idx="45">
                  <c:v>1.6789507141945091E-4</c:v>
                </c:pt>
                <c:pt idx="46">
                  <c:v>1.8423571978296081E-4</c:v>
                </c:pt>
                <c:pt idx="47">
                  <c:v>2.0162158767053531E-4</c:v>
                </c:pt>
                <c:pt idx="48">
                  <c:v>2.200877829071681E-4</c:v>
                </c:pt>
                <c:pt idx="49">
                  <c:v>2.39669589273338E-4</c:v>
                </c:pt>
                <c:pt idx="50">
                  <c:v>2.6040246146796894E-4</c:v>
                </c:pt>
                <c:pt idx="51">
                  <c:v>2.8232202035237712E-4</c:v>
                </c:pt>
                <c:pt idx="52">
                  <c:v>3.0546404845018524E-4</c:v>
                </c:pt>
                <c:pt idx="53">
                  <c:v>3.2986448568153186E-4</c:v>
                </c:pt>
                <c:pt idx="54">
                  <c:v>3.555594253125427E-4</c:v>
                </c:pt>
                <c:pt idx="55">
                  <c:v>3.8258511010308475E-4</c:v>
                </c:pt>
                <c:pt idx="56">
                  <c:v>4.1097792863799878E-4</c:v>
                </c:pt>
                <c:pt idx="57">
                  <c:v>4.4077441182831999E-4</c:v>
                </c:pt>
                <c:pt idx="58">
                  <c:v>4.7201122957053E-4</c:v>
                </c:pt>
                <c:pt idx="59">
                  <c:v>5.0472518755300918E-4</c:v>
                </c:pt>
                <c:pt idx="60">
                  <c:v>5.3895322419993986E-4</c:v>
                </c:pt>
                <c:pt idx="61">
                  <c:v>5.7473240774377754E-4</c:v>
                </c:pt>
                <c:pt idx="62">
                  <c:v>6.1209993341812216E-4</c:v>
                </c:pt>
                <c:pt idx="63">
                  <c:v>6.5109312076371245E-4</c:v>
                </c:pt>
                <c:pt idx="64">
                  <c:v>6.9174941104070415E-4</c:v>
                </c:pt>
                <c:pt idx="65">
                  <c:v>7.3410636474098903E-4</c:v>
                </c:pt>
                <c:pt idx="66">
                  <c:v>7.7820165919495585E-4</c:v>
                </c:pt>
                <c:pt idx="67">
                  <c:v>8.240730862671959E-4</c:v>
                </c:pt>
                <c:pt idx="68">
                  <c:v>8.7175855013656275E-4</c:v>
                </c:pt>
                <c:pt idx="69">
                  <c:v>9.2129606515569719E-4</c:v>
                </c:pt>
                <c:pt idx="70">
                  <c:v>9.7272375378623242E-4</c:v>
                </c:pt>
                <c:pt idx="71">
                  <c:v>1.0260798446053369E-3</c:v>
                </c:pt>
                <c:pt idx="72">
                  <c:v>1.0814026703804536E-3</c:v>
                </c:pt>
                <c:pt idx="73">
                  <c:v>1.1387306662083857E-3</c:v>
                </c:pt>
                <c:pt idx="74">
                  <c:v>1.1981023677158085E-3</c:v>
                </c:pt>
                <c:pt idx="75">
                  <c:v>1.259556409318272E-3</c:v>
                </c:pt>
                <c:pt idx="76">
                  <c:v>1.3231315225348554E-3</c:v>
                </c:pt>
                <c:pt idx="77">
                  <c:v>1.3888665343558628E-3</c:v>
                </c:pt>
                <c:pt idx="78">
                  <c:v>1.4568003656611358E-3</c:v>
                </c:pt>
                <c:pt idx="79">
                  <c:v>1.5269720296868055E-3</c:v>
                </c:pt>
                <c:pt idx="80">
                  <c:v>1.5994206305381307E-3</c:v>
                </c:pt>
                <c:pt idx="81">
                  <c:v>1.6741853617465731E-3</c:v>
                </c:pt>
                <c:pt idx="82">
                  <c:v>1.7513055048692728E-3</c:v>
                </c:pt>
                <c:pt idx="83">
                  <c:v>1.8308204281286293E-3</c:v>
                </c:pt>
                <c:pt idx="84">
                  <c:v>1.9127695850910892E-3</c:v>
                </c:pt>
                <c:pt idx="85">
                  <c:v>1.9971925133828328E-3</c:v>
                </c:pt>
                <c:pt idx="86">
                  <c:v>2.084128833441144E-3</c:v>
                </c:pt>
                <c:pt idx="87">
                  <c:v>2.1736182473001166E-3</c:v>
                </c:pt>
                <c:pt idx="88">
                  <c:v>2.2657005374090689E-3</c:v>
                </c:pt>
                <c:pt idx="89">
                  <c:v>2.3604155654826384E-3</c:v>
                </c:pt>
                <c:pt idx="90">
                  <c:v>2.4578032713811339E-3</c:v>
                </c:pt>
                <c:pt idx="91">
                  <c:v>2.5579036720201564E-3</c:v>
                </c:pt>
                <c:pt idx="92">
                  <c:v>2.6607568603082095E-3</c:v>
                </c:pt>
                <c:pt idx="93">
                  <c:v>2.766403004111431E-3</c:v>
                </c:pt>
                <c:pt idx="94">
                  <c:v>2.8748823452444047E-3</c:v>
                </c:pt>
                <c:pt idx="95">
                  <c:v>2.9862351984856648E-3</c:v>
                </c:pt>
                <c:pt idx="96">
                  <c:v>3.1005019506181626E-3</c:v>
                </c:pt>
                <c:pt idx="97">
                  <c:v>3.2177230594922068E-3</c:v>
                </c:pt>
                <c:pt idx="98">
                  <c:v>3.3379390531115172E-3</c:v>
                </c:pt>
                <c:pt idx="99">
                  <c:v>3.4611905287406154E-3</c:v>
                </c:pt>
                <c:pt idx="100">
                  <c:v>3.5875181520334224E-3</c:v>
                </c:pt>
                <c:pt idx="101">
                  <c:v>3.8495648410856132E-3</c:v>
                </c:pt>
                <c:pt idx="102">
                  <c:v>4.1244057814261636E-3</c:v>
                </c:pt>
                <c:pt idx="103">
                  <c:v>4.4123686759457072E-3</c:v>
                </c:pt>
                <c:pt idx="104">
                  <c:v>4.7137822446779668E-3</c:v>
                </c:pt>
                <c:pt idx="105">
                  <c:v>5.0289762012736125E-3</c:v>
                </c:pt>
                <c:pt idx="106">
                  <c:v>5.3582812304695804E-3</c:v>
                </c:pt>
                <c:pt idx="107">
                  <c:v>5.702028966496079E-3</c:v>
                </c:pt>
                <c:pt idx="108">
                  <c:v>6.0605519723629878E-3</c:v>
                </c:pt>
                <c:pt idx="109">
                  <c:v>6.4341837199757652E-3</c:v>
                </c:pt>
              </c:numCache>
            </c:numRef>
          </c:yVal>
          <c:smooth val="0"/>
          <c:extLst>
            <c:ext xmlns:c16="http://schemas.microsoft.com/office/drawing/2014/chart" uri="{C3380CC4-5D6E-409C-BE32-E72D297353CC}">
              <c16:uniqueId val="{00000000-4F83-45D7-99F6-BE27A81CF1A1}"/>
            </c:ext>
          </c:extLst>
        </c:ser>
        <c:ser>
          <c:idx val="16"/>
          <c:order val="17"/>
          <c:tx>
            <c:v>CF, Pipe 3, 48% straked</c:v>
          </c:tx>
          <c:spPr>
            <a:ln w="25400" cap="rnd">
              <a:noFill/>
              <a:round/>
            </a:ln>
            <a:effectLst/>
          </c:spPr>
          <c:marker>
            <c:symbol val="square"/>
            <c:size val="7"/>
            <c:spPr>
              <a:solidFill>
                <a:srgbClr val="FF0000"/>
              </a:solidFill>
              <a:ln w="9525">
                <a:solidFill>
                  <a:srgbClr val="FF0000"/>
                </a:solidFill>
              </a:ln>
              <a:effectLst/>
            </c:spPr>
          </c:marker>
          <c:xVal>
            <c:numRef>
              <c:f>m!$FG$136:$FK$136</c:f>
              <c:numCache>
                <c:formatCode>General</c:formatCode>
                <c:ptCount val="5"/>
                <c:pt idx="0">
                  <c:v>0.96048642325127032</c:v>
                </c:pt>
                <c:pt idx="1">
                  <c:v>4.1576856582323369</c:v>
                </c:pt>
              </c:numCache>
            </c:numRef>
          </c:xVal>
          <c:yVal>
            <c:numRef>
              <c:f>m!$FG$144:$FK$144</c:f>
              <c:numCache>
                <c:formatCode>General</c:formatCode>
                <c:ptCount val="5"/>
                <c:pt idx="0">
                  <c:v>9.1161515508772583E-8</c:v>
                </c:pt>
                <c:pt idx="1">
                  <c:v>2.4228612780127166E-4</c:v>
                </c:pt>
              </c:numCache>
            </c:numRef>
          </c:yVal>
          <c:smooth val="0"/>
          <c:extLst>
            <c:ext xmlns:c16="http://schemas.microsoft.com/office/drawing/2014/chart" uri="{C3380CC4-5D6E-409C-BE32-E72D297353CC}">
              <c16:uniqueId val="{00000010-ABDB-45DF-A6E6-2035B0847662}"/>
            </c:ext>
          </c:extLst>
        </c:ser>
        <c:ser>
          <c:idx val="18"/>
          <c:order val="19"/>
          <c:tx>
            <c:v>CF, Pipe 3, 75% straked</c:v>
          </c:tx>
          <c:spPr>
            <a:ln w="25400" cap="rnd">
              <a:noFill/>
              <a:round/>
            </a:ln>
            <a:effectLst/>
          </c:spPr>
          <c:marker>
            <c:symbol val="square"/>
            <c:size val="7"/>
            <c:spPr>
              <a:solidFill>
                <a:srgbClr val="FFC000"/>
              </a:solidFill>
              <a:ln w="9525">
                <a:solidFill>
                  <a:srgbClr val="FFC000"/>
                </a:solidFill>
              </a:ln>
              <a:effectLst/>
            </c:spPr>
          </c:marker>
          <c:xVal>
            <c:numRef>
              <c:f>m!$FB$136:$FF$136</c:f>
              <c:numCache>
                <c:formatCode>General</c:formatCode>
                <c:ptCount val="5"/>
                <c:pt idx="0">
                  <c:v>0.96115497233793457</c:v>
                </c:pt>
                <c:pt idx="1">
                  <c:v>4.1565568612314019</c:v>
                </c:pt>
              </c:numCache>
            </c:numRef>
          </c:xVal>
          <c:yVal>
            <c:numRef>
              <c:f>m!$FB$144:$FF$144</c:f>
              <c:numCache>
                <c:formatCode>General</c:formatCode>
                <c:ptCount val="5"/>
                <c:pt idx="0">
                  <c:v>5.1963116081403397E-9</c:v>
                </c:pt>
                <c:pt idx="1">
                  <c:v>2.3315909363752806E-5</c:v>
                </c:pt>
              </c:numCache>
            </c:numRef>
          </c:yVal>
          <c:smooth val="0"/>
          <c:extLst>
            <c:ext xmlns:c16="http://schemas.microsoft.com/office/drawing/2014/chart" uri="{C3380CC4-5D6E-409C-BE32-E72D297353CC}">
              <c16:uniqueId val="{00000012-ABDB-45DF-A6E6-2035B0847662}"/>
            </c:ext>
          </c:extLst>
        </c:ser>
        <c:ser>
          <c:idx val="20"/>
          <c:order val="21"/>
          <c:tx>
            <c:v>CF, Pipe 3, 85% straked</c:v>
          </c:tx>
          <c:spPr>
            <a:ln w="25400" cap="rnd">
              <a:noFill/>
              <a:round/>
            </a:ln>
            <a:effectLst/>
          </c:spPr>
          <c:marker>
            <c:symbol val="square"/>
            <c:size val="7"/>
            <c:spPr>
              <a:solidFill>
                <a:srgbClr val="00B050"/>
              </a:solidFill>
              <a:ln w="9525">
                <a:solidFill>
                  <a:srgbClr val="00B050"/>
                </a:solidFill>
              </a:ln>
              <a:effectLst/>
            </c:spPr>
          </c:marker>
          <c:xVal>
            <c:numRef>
              <c:f>m!$EW$136:$FA$136</c:f>
              <c:numCache>
                <c:formatCode>General</c:formatCode>
                <c:ptCount val="5"/>
                <c:pt idx="0">
                  <c:v>1.275990699224635</c:v>
                </c:pt>
                <c:pt idx="1">
                  <c:v>4.2191067315113493</c:v>
                </c:pt>
              </c:numCache>
            </c:numRef>
          </c:xVal>
          <c:yVal>
            <c:numRef>
              <c:f>m!$EW$144:$FA$144</c:f>
              <c:numCache>
                <c:formatCode>General</c:formatCode>
                <c:ptCount val="5"/>
                <c:pt idx="0">
                  <c:v>4.1380959611613444E-9</c:v>
                </c:pt>
                <c:pt idx="1">
                  <c:v>6.8556960655948825E-7</c:v>
                </c:pt>
              </c:numCache>
            </c:numRef>
          </c:yVal>
          <c:smooth val="0"/>
          <c:extLst>
            <c:ext xmlns:c16="http://schemas.microsoft.com/office/drawing/2014/chart" uri="{C3380CC4-5D6E-409C-BE32-E72D297353CC}">
              <c16:uniqueId val="{00000014-ABDB-45DF-A6E6-2035B0847662}"/>
            </c:ext>
          </c:extLst>
        </c:ser>
        <c:ser>
          <c:idx val="22"/>
          <c:order val="23"/>
          <c:tx>
            <c:v>CF, Pipe 3, 95% straked</c:v>
          </c:tx>
          <c:spPr>
            <a:ln w="25400" cap="rnd">
              <a:noFill/>
              <a:round/>
            </a:ln>
            <a:effectLst/>
          </c:spPr>
          <c:marker>
            <c:symbol val="square"/>
            <c:size val="7"/>
            <c:spPr>
              <a:solidFill>
                <a:srgbClr val="00B0F0"/>
              </a:solidFill>
              <a:ln w="9525">
                <a:solidFill>
                  <a:srgbClr val="00B0F0"/>
                </a:solidFill>
              </a:ln>
              <a:effectLst/>
            </c:spPr>
          </c:marker>
          <c:xVal>
            <c:numRef>
              <c:f>m!$ER$136:$EV$136</c:f>
              <c:numCache>
                <c:formatCode>General</c:formatCode>
                <c:ptCount val="5"/>
                <c:pt idx="0">
                  <c:v>1.1585549834018851</c:v>
                </c:pt>
                <c:pt idx="1">
                  <c:v>5.4851641724022757</c:v>
                </c:pt>
              </c:numCache>
            </c:numRef>
          </c:xVal>
          <c:yVal>
            <c:numRef>
              <c:f>m!$ER$144:$EV$144</c:f>
              <c:numCache>
                <c:formatCode>General</c:formatCode>
                <c:ptCount val="5"/>
                <c:pt idx="0">
                  <c:v>1.5495002279065027E-9</c:v>
                </c:pt>
                <c:pt idx="1">
                  <c:v>2.0890858886504666E-7</c:v>
                </c:pt>
              </c:numCache>
            </c:numRef>
          </c:yVal>
          <c:smooth val="0"/>
          <c:extLst>
            <c:ext xmlns:c16="http://schemas.microsoft.com/office/drawing/2014/chart" uri="{C3380CC4-5D6E-409C-BE32-E72D297353CC}">
              <c16:uniqueId val="{00000016-ABDB-45DF-A6E6-2035B0847662}"/>
            </c:ext>
          </c:extLst>
        </c:ser>
        <c:ser>
          <c:idx val="24"/>
          <c:order val="25"/>
          <c:tx>
            <c:v>CF, Pipe 3, 99% straked</c:v>
          </c:tx>
          <c:spPr>
            <a:ln w="25400" cap="rnd">
              <a:noFill/>
              <a:round/>
            </a:ln>
            <a:effectLst/>
          </c:spPr>
          <c:marker>
            <c:symbol val="square"/>
            <c:size val="7"/>
            <c:spPr>
              <a:solidFill>
                <a:srgbClr val="002060"/>
              </a:solidFill>
              <a:ln w="9525">
                <a:solidFill>
                  <a:schemeClr val="accent1">
                    <a:lumMod val="60000"/>
                    <a:lumOff val="40000"/>
                  </a:schemeClr>
                </a:solidFill>
              </a:ln>
              <a:effectLst/>
            </c:spPr>
          </c:marker>
          <c:xVal>
            <c:numRef>
              <c:f>m!$EM$136:$EQ$136</c:f>
              <c:numCache>
                <c:formatCode>General</c:formatCode>
                <c:ptCount val="5"/>
                <c:pt idx="0">
                  <c:v>1.3105581476521337</c:v>
                </c:pt>
                <c:pt idx="1">
                  <c:v>4.4152380023408355</c:v>
                </c:pt>
              </c:numCache>
            </c:numRef>
          </c:xVal>
          <c:yVal>
            <c:numRef>
              <c:f>m!$EM$144:$EQ$144</c:f>
              <c:numCache>
                <c:formatCode>General</c:formatCode>
                <c:ptCount val="5"/>
                <c:pt idx="0">
                  <c:v>2.2258545426291163E-9</c:v>
                </c:pt>
                <c:pt idx="1">
                  <c:v>3.9610158665135103E-9</c:v>
                </c:pt>
              </c:numCache>
            </c:numRef>
          </c:yVal>
          <c:smooth val="0"/>
          <c:extLst>
            <c:ext xmlns:c16="http://schemas.microsoft.com/office/drawing/2014/chart" uri="{C3380CC4-5D6E-409C-BE32-E72D297353CC}">
              <c16:uniqueId val="{00000018-ABDB-45DF-A6E6-2035B0847662}"/>
            </c:ext>
          </c:extLst>
        </c:ser>
        <c:dLbls>
          <c:showLegendKey val="0"/>
          <c:showVal val="0"/>
          <c:showCatName val="0"/>
          <c:showSerName val="0"/>
          <c:showPercent val="0"/>
          <c:showBubbleSize val="0"/>
        </c:dLbls>
        <c:axId val="624399680"/>
        <c:axId val="624400008"/>
        <c:extLst>
          <c:ext xmlns:c15="http://schemas.microsoft.com/office/drawing/2012/chart" uri="{02D57815-91ED-43cb-92C2-25804820EDAC}">
            <c15:filteredScatterSeries>
              <c15:ser>
                <c:idx val="6"/>
                <c:order val="6"/>
                <c:tx>
                  <c:v>IL, Ormen Lange</c:v>
                </c:tx>
                <c:spPr>
                  <a:ln w="25400" cap="rnd">
                    <a:noFill/>
                    <a:round/>
                  </a:ln>
                  <a:effectLst/>
                </c:spPr>
                <c:marker>
                  <c:symbol val="circle"/>
                  <c:size val="7"/>
                  <c:spPr>
                    <a:noFill/>
                    <a:ln w="15875">
                      <a:solidFill>
                        <a:schemeClr val="tx1"/>
                      </a:solidFill>
                    </a:ln>
                    <a:effectLst/>
                  </c:spPr>
                </c:marker>
                <c:xVal>
                  <c:numRef>
                    <c:extLst>
                      <c:ext uri="{02D57815-91ED-43cb-92C2-25804820EDAC}">
                        <c15:formulaRef>
                          <c15:sqref>m!$AF$136:$AO$136</c15:sqref>
                        </c15:formulaRef>
                      </c:ext>
                    </c:extLst>
                    <c:numCache>
                      <c:formatCode>General</c:formatCode>
                      <c:ptCount val="10"/>
                      <c:pt idx="6">
                        <c:v>1.6143948063818636</c:v>
                      </c:pt>
                      <c:pt idx="7">
                        <c:v>1.9401411172244991</c:v>
                      </c:pt>
                      <c:pt idx="8">
                        <c:v>2.3020971953720357</c:v>
                      </c:pt>
                      <c:pt idx="9">
                        <c:v>2.7961447987028745</c:v>
                      </c:pt>
                    </c:numCache>
                  </c:numRef>
                </c:xVal>
                <c:yVal>
                  <c:numRef>
                    <c:extLst>
                      <c:ext uri="{02D57815-91ED-43cb-92C2-25804820EDAC}">
                        <c15:formulaRef>
                          <c15:sqref>m!$AF$145:$AO$145</c15:sqref>
                        </c15:formulaRef>
                      </c:ext>
                    </c:extLst>
                    <c:numCache>
                      <c:formatCode>General</c:formatCode>
                      <c:ptCount val="10"/>
                      <c:pt idx="6">
                        <c:v>1.2542029851515517E-6</c:v>
                      </c:pt>
                      <c:pt idx="7">
                        <c:v>1.916333337452869E-6</c:v>
                      </c:pt>
                      <c:pt idx="8">
                        <c:v>1.5689348081764975E-6</c:v>
                      </c:pt>
                      <c:pt idx="9">
                        <c:v>3.6004404056860452E-6</c:v>
                      </c:pt>
                    </c:numCache>
                  </c:numRef>
                </c:yVal>
                <c:smooth val="0"/>
                <c:extLst>
                  <c:ext xmlns:c16="http://schemas.microsoft.com/office/drawing/2014/chart" uri="{C3380CC4-5D6E-409C-BE32-E72D297353CC}">
                    <c16:uniqueId val="{00000006-ABDB-45DF-A6E6-2035B0847662}"/>
                  </c:ext>
                </c:extLst>
              </c15:ser>
            </c15:filteredScatterSeries>
            <c15:filteredScatterSeries>
              <c15:ser>
                <c:idx val="7"/>
                <c:order val="7"/>
                <c:tx>
                  <c:v>IL, ExxonMobil</c:v>
                </c:tx>
                <c:spPr>
                  <a:ln w="25400" cap="rnd">
                    <a:noFill/>
                    <a:round/>
                  </a:ln>
                  <a:effectLst/>
                </c:spPr>
                <c:marker>
                  <c:symbol val="circle"/>
                  <c:size val="7"/>
                  <c:spPr>
                    <a:noFill/>
                    <a:ln w="15875">
                      <a:solidFill>
                        <a:schemeClr val="accent3"/>
                      </a:solidFill>
                    </a:ln>
                    <a:effectLst/>
                  </c:spPr>
                </c:marker>
                <c:xVal>
                  <c:numRef>
                    <c:extLst xmlns:c15="http://schemas.microsoft.com/office/drawing/2012/chart">
                      <c:ext xmlns:c15="http://schemas.microsoft.com/office/drawing/2012/chart" uri="{02D57815-91ED-43cb-92C2-25804820EDAC}">
                        <c15:formulaRef>
                          <c15:sqref>m!$AP$136:$BL$136</c15:sqref>
                        </c15:formulaRef>
                      </c:ext>
                    </c:extLst>
                    <c:numCache>
                      <c:formatCode>General</c:formatCode>
                      <c:ptCount val="23"/>
                      <c:pt idx="0">
                        <c:v>0.87758664404220332</c:v>
                      </c:pt>
                      <c:pt idx="1">
                        <c:v>1.3074036031223182</c:v>
                      </c:pt>
                      <c:pt idx="2">
                        <c:v>2.5715201139747297</c:v>
                      </c:pt>
                      <c:pt idx="3">
                        <c:v>3.954965066154386</c:v>
                      </c:pt>
                      <c:pt idx="4">
                        <c:v>5.5317355430904875</c:v>
                      </c:pt>
                      <c:pt idx="19">
                        <c:v>0.85445300673745028</c:v>
                      </c:pt>
                      <c:pt idx="20">
                        <c:v>1.762675703425572</c:v>
                      </c:pt>
                      <c:pt idx="21">
                        <c:v>1.3296823406377316</c:v>
                      </c:pt>
                    </c:numCache>
                  </c:numRef>
                </c:xVal>
                <c:yVal>
                  <c:numRef>
                    <c:extLst xmlns:c15="http://schemas.microsoft.com/office/drawing/2012/chart">
                      <c:ext xmlns:c15="http://schemas.microsoft.com/office/drawing/2012/chart" uri="{02D57815-91ED-43cb-92C2-25804820EDAC}">
                        <c15:formulaRef>
                          <c15:sqref>m!$AP$145:$BL$145</c15:sqref>
                        </c15:formulaRef>
                      </c:ext>
                    </c:extLst>
                    <c:numCache>
                      <c:formatCode>General</c:formatCode>
                      <c:ptCount val="23"/>
                      <c:pt idx="0">
                        <c:v>1.3857504480181566E-8</c:v>
                      </c:pt>
                      <c:pt idx="1">
                        <c:v>2.0636852232613156E-7</c:v>
                      </c:pt>
                      <c:pt idx="2">
                        <c:v>8.6872154464934176E-7</c:v>
                      </c:pt>
                      <c:pt idx="3">
                        <c:v>8.1068211715272813E-6</c:v>
                      </c:pt>
                      <c:pt idx="4">
                        <c:v>3.5503759865297937E-5</c:v>
                      </c:pt>
                      <c:pt idx="19">
                        <c:v>5.1075499222930498E-8</c:v>
                      </c:pt>
                      <c:pt idx="20">
                        <c:v>4.4453517408270377E-7</c:v>
                      </c:pt>
                      <c:pt idx="21">
                        <c:v>2.4111574927632757E-7</c:v>
                      </c:pt>
                    </c:numCache>
                  </c:numRef>
                </c:yVal>
                <c:smooth val="0"/>
                <c:extLst xmlns:c15="http://schemas.microsoft.com/office/drawing/2012/chart">
                  <c:ext xmlns:c16="http://schemas.microsoft.com/office/drawing/2014/chart" uri="{C3380CC4-5D6E-409C-BE32-E72D297353CC}">
                    <c16:uniqueId val="{00000007-ABDB-45DF-A6E6-2035B0847662}"/>
                  </c:ext>
                </c:extLst>
              </c15:ser>
            </c15:filteredScatterSeries>
            <c15:filteredScatterSeries>
              <c15:ser>
                <c:idx val="12"/>
                <c:order val="8"/>
                <c:tx>
                  <c:v>IL, Pipe 1</c:v>
                </c:tx>
                <c:spPr>
                  <a:ln w="25400" cap="rnd">
                    <a:noFill/>
                    <a:round/>
                  </a:ln>
                  <a:effectLst/>
                </c:spPr>
                <c:marker>
                  <c:symbol val="circle"/>
                  <c:size val="8"/>
                  <c:spPr>
                    <a:noFill/>
                    <a:ln w="15875">
                      <a:solidFill>
                        <a:schemeClr val="accent6"/>
                      </a:solidFill>
                    </a:ln>
                    <a:effectLst/>
                  </c:spPr>
                </c:marker>
                <c:xVal>
                  <c:numRef>
                    <c:extLst xmlns:c15="http://schemas.microsoft.com/office/drawing/2012/chart">
                      <c:ext xmlns:c15="http://schemas.microsoft.com/office/drawing/2012/chart" uri="{02D57815-91ED-43cb-92C2-25804820EDAC}">
                        <c15:formulaRef>
                          <c15:sqref>m!$BM$136:$CO$136</c15:sqref>
                        </c15:formulaRef>
                      </c:ext>
                    </c:extLst>
                    <c:numCache>
                      <c:formatCode>General</c:formatCode>
                      <c:ptCount val="29"/>
                    </c:numCache>
                  </c:numRef>
                </c:xVal>
                <c:yVal>
                  <c:numRef>
                    <c:extLst xmlns:c15="http://schemas.microsoft.com/office/drawing/2012/chart">
                      <c:ext xmlns:c15="http://schemas.microsoft.com/office/drawing/2012/chart" uri="{02D57815-91ED-43cb-92C2-25804820EDAC}">
                        <c15:formulaRef>
                          <c15:sqref>m!$BM$145:$CO$145</c15:sqref>
                        </c15:formulaRef>
                      </c:ext>
                    </c:extLst>
                    <c:numCache>
                      <c:formatCode>General</c:formatCode>
                      <c:ptCount val="29"/>
                    </c:numCache>
                  </c:numRef>
                </c:yVal>
                <c:smooth val="0"/>
                <c:extLst xmlns:c15="http://schemas.microsoft.com/office/drawing/2012/chart">
                  <c:ext xmlns:c16="http://schemas.microsoft.com/office/drawing/2014/chart" uri="{C3380CC4-5D6E-409C-BE32-E72D297353CC}">
                    <c16:uniqueId val="{00000008-ABDB-45DF-A6E6-2035B0847662}"/>
                  </c:ext>
                </c:extLst>
              </c15:ser>
            </c15:filteredScatterSeries>
            <c15:filteredScatterSeries>
              <c15:ser>
                <c:idx val="14"/>
                <c:order val="9"/>
                <c:tx>
                  <c:v>IL, Pipe 2</c:v>
                </c:tx>
                <c:spPr>
                  <a:ln w="25400" cap="rnd">
                    <a:noFill/>
                    <a:round/>
                  </a:ln>
                  <a:effectLst/>
                </c:spPr>
                <c:marker>
                  <c:symbol val="circle"/>
                  <c:size val="7"/>
                  <c:spPr>
                    <a:noFill/>
                    <a:ln w="15875">
                      <a:solidFill>
                        <a:srgbClr val="00B0F0"/>
                      </a:solidFill>
                    </a:ln>
                    <a:effectLst/>
                  </c:spPr>
                </c:marker>
                <c:xVal>
                  <c:numRef>
                    <c:extLst xmlns:c15="http://schemas.microsoft.com/office/drawing/2012/chart">
                      <c:ext xmlns:c15="http://schemas.microsoft.com/office/drawing/2012/chart" uri="{02D57815-91ED-43cb-92C2-25804820EDAC}">
                        <c15:formulaRef>
                          <c15:sqref>m!$CP$136:$DT$136</c15:sqref>
                        </c15:formulaRef>
                      </c:ext>
                    </c:extLst>
                    <c:numCache>
                      <c:formatCode>General</c:formatCode>
                      <c:ptCount val="31"/>
                      <c:pt idx="23">
                        <c:v>5.4616805280644583</c:v>
                      </c:pt>
                      <c:pt idx="24">
                        <c:v>9.3881308400269585</c:v>
                      </c:pt>
                      <c:pt idx="25">
                        <c:v>6.6301156322246957</c:v>
                      </c:pt>
                      <c:pt idx="27">
                        <c:v>8.9302718911312038</c:v>
                      </c:pt>
                    </c:numCache>
                  </c:numRef>
                </c:xVal>
                <c:yVal>
                  <c:numRef>
                    <c:extLst xmlns:c15="http://schemas.microsoft.com/office/drawing/2012/chart">
                      <c:ext xmlns:c15="http://schemas.microsoft.com/office/drawing/2012/chart" uri="{02D57815-91ED-43cb-92C2-25804820EDAC}">
                        <c15:formulaRef>
                          <c15:sqref>m!$CP$145:$DT$145</c15:sqref>
                        </c15:formulaRef>
                      </c:ext>
                    </c:extLst>
                    <c:numCache>
                      <c:formatCode>General</c:formatCode>
                      <c:ptCount val="31"/>
                      <c:pt idx="23">
                        <c:v>1.906671871666099E-4</c:v>
                      </c:pt>
                      <c:pt idx="24">
                        <c:v>2.4591168879224863E-3</c:v>
                      </c:pt>
                      <c:pt idx="25">
                        <c:v>3.4759479193778375E-4</c:v>
                      </c:pt>
                      <c:pt idx="27">
                        <c:v>7.5895184282628208E-4</c:v>
                      </c:pt>
                    </c:numCache>
                  </c:numRef>
                </c:yVal>
                <c:smooth val="0"/>
                <c:extLst xmlns:c15="http://schemas.microsoft.com/office/drawing/2012/chart">
                  <c:ext xmlns:c16="http://schemas.microsoft.com/office/drawing/2014/chart" uri="{C3380CC4-5D6E-409C-BE32-E72D297353CC}">
                    <c16:uniqueId val="{00000009-ABDB-45DF-A6E6-2035B0847662}"/>
                  </c:ext>
                </c:extLst>
              </c15:ser>
            </c15:filteredScatterSeries>
            <c15:filteredScatterSeries>
              <c15:ser>
                <c:idx val="8"/>
                <c:order val="10"/>
                <c:tx>
                  <c:v>IL, Pipe 3 Smooth</c:v>
                </c:tx>
                <c:spPr>
                  <a:ln w="25400" cap="rnd">
                    <a:noFill/>
                    <a:round/>
                  </a:ln>
                  <a:effectLst/>
                </c:spPr>
                <c:marker>
                  <c:symbol val="circle"/>
                  <c:size val="7"/>
                  <c:spPr>
                    <a:noFill/>
                    <a:ln w="15875">
                      <a:solidFill>
                        <a:schemeClr val="accent2"/>
                      </a:solidFill>
                    </a:ln>
                    <a:effectLst/>
                  </c:spPr>
                </c:marker>
                <c:xVal>
                  <c:numRef>
                    <c:extLst xmlns:c15="http://schemas.microsoft.com/office/drawing/2012/chart">
                      <c:ext xmlns:c15="http://schemas.microsoft.com/office/drawing/2012/chart" uri="{02D57815-91ED-43cb-92C2-25804820EDAC}">
                        <c15:formulaRef>
                          <c15:sqref>m!$DU$136:$DX$136</c15:sqref>
                        </c15:formulaRef>
                      </c:ext>
                    </c:extLst>
                    <c:numCache>
                      <c:formatCode>General</c:formatCode>
                      <c:ptCount val="4"/>
                      <c:pt idx="1">
                        <c:v>3.7649826229949488</c:v>
                      </c:pt>
                    </c:numCache>
                  </c:numRef>
                </c:xVal>
                <c:yVal>
                  <c:numRef>
                    <c:extLst xmlns:c15="http://schemas.microsoft.com/office/drawing/2012/chart">
                      <c:ext xmlns:c15="http://schemas.microsoft.com/office/drawing/2012/chart" uri="{02D57815-91ED-43cb-92C2-25804820EDAC}">
                        <c15:formulaRef>
                          <c15:sqref>m!$DU$145:$DX$145</c15:sqref>
                        </c15:formulaRef>
                      </c:ext>
                    </c:extLst>
                    <c:numCache>
                      <c:formatCode>General</c:formatCode>
                      <c:ptCount val="4"/>
                      <c:pt idx="1">
                        <c:v>5.3255910832457776E-4</c:v>
                      </c:pt>
                    </c:numCache>
                  </c:numRef>
                </c:yVal>
                <c:smooth val="0"/>
                <c:extLst xmlns:c15="http://schemas.microsoft.com/office/drawing/2012/chart">
                  <c:ext xmlns:c16="http://schemas.microsoft.com/office/drawing/2014/chart" uri="{C3380CC4-5D6E-409C-BE32-E72D297353CC}">
                    <c16:uniqueId val="{0000000A-ABDB-45DF-A6E6-2035B0847662}"/>
                  </c:ext>
                </c:extLst>
              </c15:ser>
            </c15:filteredScatterSeries>
            <c15:filteredScatterSeries>
              <c15:ser>
                <c:idx val="10"/>
                <c:order val="11"/>
                <c:tx>
                  <c:v>IL, Pipe 3 Rough</c:v>
                </c:tx>
                <c:spPr>
                  <a:ln w="25400" cap="rnd">
                    <a:noFill/>
                    <a:round/>
                  </a:ln>
                  <a:effectLst/>
                </c:spPr>
                <c:marker>
                  <c:symbol val="circle"/>
                  <c:size val="5"/>
                  <c:spPr>
                    <a:noFill/>
                    <a:ln w="19050">
                      <a:solidFill>
                        <a:schemeClr val="accent4"/>
                      </a:solidFill>
                    </a:ln>
                    <a:effectLst/>
                  </c:spPr>
                </c:marker>
                <c:xVal>
                  <c:numRef>
                    <c:extLst xmlns:c15="http://schemas.microsoft.com/office/drawing/2012/chart">
                      <c:ext xmlns:c15="http://schemas.microsoft.com/office/drawing/2012/chart" uri="{02D57815-91ED-43cb-92C2-25804820EDAC}">
                        <c15:formulaRef>
                          <c15:sqref>m!$DY$136:$EL$136</c15:sqref>
                        </c15:formulaRef>
                      </c:ext>
                    </c:extLst>
                    <c:numCache>
                      <c:formatCode>General</c:formatCode>
                      <c:ptCount val="14"/>
                      <c:pt idx="0">
                        <c:v>0.95944318952665708</c:v>
                      </c:pt>
                      <c:pt idx="1">
                        <c:v>4.0478778131308895</c:v>
                      </c:pt>
                      <c:pt idx="2">
                        <c:v>7.094716690461337</c:v>
                      </c:pt>
                      <c:pt idx="3">
                        <c:v>9.8213071433888182</c:v>
                      </c:pt>
                    </c:numCache>
                  </c:numRef>
                </c:xVal>
                <c:yVal>
                  <c:numRef>
                    <c:extLst xmlns:c15="http://schemas.microsoft.com/office/drawing/2012/chart">
                      <c:ext xmlns:c15="http://schemas.microsoft.com/office/drawing/2012/chart" uri="{02D57815-91ED-43cb-92C2-25804820EDAC}">
                        <c15:formulaRef>
                          <c15:sqref>m!$DY$145:$EL$145</c15:sqref>
                        </c15:formulaRef>
                      </c:ext>
                    </c:extLst>
                    <c:numCache>
                      <c:formatCode>General</c:formatCode>
                      <c:ptCount val="14"/>
                      <c:pt idx="0">
                        <c:v>8.1056258945619145E-7</c:v>
                      </c:pt>
                      <c:pt idx="1">
                        <c:v>6.0351498342746932E-4</c:v>
                      </c:pt>
                      <c:pt idx="2">
                        <c:v>5.1639657195250328E-3</c:v>
                      </c:pt>
                      <c:pt idx="3">
                        <c:v>3.9461668995730122E-2</c:v>
                      </c:pt>
                    </c:numCache>
                  </c:numRef>
                </c:yVal>
                <c:smooth val="0"/>
                <c:extLst xmlns:c15="http://schemas.microsoft.com/office/drawing/2012/chart">
                  <c:ext xmlns:c16="http://schemas.microsoft.com/office/drawing/2014/chart" uri="{C3380CC4-5D6E-409C-BE32-E72D297353CC}">
                    <c16:uniqueId val="{0000000B-ABDB-45DF-A6E6-2035B0847662}"/>
                  </c:ext>
                </c:extLst>
              </c15:ser>
            </c15:filteredScatterSeries>
            <c15:filteredScatterSeries>
              <c15:ser>
                <c:idx val="2"/>
                <c:order val="13"/>
                <c:tx>
                  <c:v>F105 IL</c:v>
                </c:tx>
                <c:spPr>
                  <a:ln w="19050" cap="rnd">
                    <a:solidFill>
                      <a:schemeClr val="bg1">
                        <a:lumMod val="65000"/>
                      </a:schemeClr>
                    </a:solidFill>
                    <a:prstDash val="dash"/>
                    <a:round/>
                  </a:ln>
                  <a:effectLst/>
                </c:spPr>
                <c:marker>
                  <c:symbol val="none"/>
                </c:marker>
                <c:xVal>
                  <c:numRef>
                    <c:extLst xmlns:c15="http://schemas.microsoft.com/office/drawing/2012/chart">
                      <c:ext xmlns:c15="http://schemas.microsoft.com/office/drawing/2012/chart" uri="{02D57815-91ED-43cb-92C2-25804820EDAC}">
                        <c15:formulaRef>
                          <c15:sqref>'c'!$F$277:$F$387</c15:sqref>
                        </c15:formulaRef>
                      </c:ext>
                    </c:extLst>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extLst xmlns:c15="http://schemas.microsoft.com/office/drawing/2012/chart">
                      <c:ext xmlns:c15="http://schemas.microsoft.com/office/drawing/2012/chart" uri="{02D57815-91ED-43cb-92C2-25804820EDAC}">
                        <c15:formulaRef>
                          <c15:sqref>'c'!$K$277:$K$387</c15:sqref>
                        </c15:formulaRef>
                      </c:ext>
                    </c:extLst>
                    <c:numCache>
                      <c:formatCode>General</c:formatCode>
                      <c:ptCount val="111"/>
                      <c:pt idx="1">
                        <c:v>1.1041206642935996E-10</c:v>
                      </c:pt>
                      <c:pt idx="2">
                        <c:v>3.9083769619238301E-10</c:v>
                      </c:pt>
                      <c:pt idx="3">
                        <c:v>8.3417937989991067E-10</c:v>
                      </c:pt>
                      <c:pt idx="4">
                        <c:v>1.386349467927615E-9</c:v>
                      </c:pt>
                      <c:pt idx="5">
                        <c:v>2.0221458734314633E-9</c:v>
                      </c:pt>
                      <c:pt idx="6">
                        <c:v>2.7280832073013042E-9</c:v>
                      </c:pt>
                      <c:pt idx="7">
                        <c:v>3.4900089065007571E-9</c:v>
                      </c:pt>
                      <c:pt idx="8">
                        <c:v>3.4526056345473889E-9</c:v>
                      </c:pt>
                      <c:pt idx="9">
                        <c:v>3.6845391625690188E-9</c:v>
                      </c:pt>
                      <c:pt idx="10">
                        <c:v>4.5596110754008729E-9</c:v>
                      </c:pt>
                      <c:pt idx="11">
                        <c:v>5.1354735156530644E-9</c:v>
                      </c:pt>
                      <c:pt idx="12">
                        <c:v>1.8798184111580765E-8</c:v>
                      </c:pt>
                      <c:pt idx="13">
                        <c:v>3.8278906377905918E-8</c:v>
                      </c:pt>
                      <c:pt idx="14">
                        <c:v>6.0608403280868133E-8</c:v>
                      </c:pt>
                      <c:pt idx="15">
                        <c:v>8.7897519775557316E-8</c:v>
                      </c:pt>
                      <c:pt idx="16">
                        <c:v>1.1936955455996198E-7</c:v>
                      </c:pt>
                      <c:pt idx="17">
                        <c:v>1.6248811814761335E-7</c:v>
                      </c:pt>
                      <c:pt idx="18">
                        <c:v>1.7758736905165257E-7</c:v>
                      </c:pt>
                      <c:pt idx="19">
                        <c:v>1.9509795558417127E-7</c:v>
                      </c:pt>
                      <c:pt idx="20">
                        <c:v>2.1743961752353268E-7</c:v>
                      </c:pt>
                      <c:pt idx="21">
                        <c:v>7.383804602075083E-7</c:v>
                      </c:pt>
                      <c:pt idx="22">
                        <c:v>1.5259033356619188E-6</c:v>
                      </c:pt>
                      <c:pt idx="23">
                        <c:v>2.7596790925296323E-6</c:v>
                      </c:pt>
                      <c:pt idx="24">
                        <c:v>3.5046103387111095E-6</c:v>
                      </c:pt>
                      <c:pt idx="25">
                        <c:v>4.9046144530215657E-6</c:v>
                      </c:pt>
                      <c:pt idx="26">
                        <c:v>6.741744082898285E-6</c:v>
                      </c:pt>
                      <c:pt idx="27">
                        <c:v>9.3991166552796059E-6</c:v>
                      </c:pt>
                      <c:pt idx="28">
                        <c:v>1.3064944908041459E-5</c:v>
                      </c:pt>
                      <c:pt idx="29">
                        <c:v>1.745912521949417E-5</c:v>
                      </c:pt>
                      <c:pt idx="30">
                        <c:v>2.2608627466074434E-5</c:v>
                      </c:pt>
                      <c:pt idx="31">
                        <c:v>2.853577491957245E-5</c:v>
                      </c:pt>
                      <c:pt idx="32">
                        <c:v>3.5654040573245164E-5</c:v>
                      </c:pt>
                      <c:pt idx="33">
                        <c:v>4.2317438394921847E-5</c:v>
                      </c:pt>
                      <c:pt idx="34">
                        <c:v>4.6953384651077838E-5</c:v>
                      </c:pt>
                      <c:pt idx="35">
                        <c:v>5.8673199879728151E-5</c:v>
                      </c:pt>
                      <c:pt idx="36">
                        <c:v>6.7127386360059407E-5</c:v>
                      </c:pt>
                      <c:pt idx="37">
                        <c:v>7.6703951727567958E-5</c:v>
                      </c:pt>
                      <c:pt idx="38">
                        <c:v>8.7451898536267092E-5</c:v>
                      </c:pt>
                      <c:pt idx="39">
                        <c:v>9.9420682299452756E-5</c:v>
                      </c:pt>
                      <c:pt idx="40">
                        <c:v>1.1265909003685684E-4</c:v>
                      </c:pt>
                      <c:pt idx="41">
                        <c:v>1.2721450573893828E-4</c:v>
                      </c:pt>
                      <c:pt idx="42">
                        <c:v>1.4313244010723451E-4</c:v>
                      </c:pt>
                      <c:pt idx="43">
                        <c:v>1.6045624724847374E-4</c:v>
                      </c:pt>
                      <c:pt idx="44">
                        <c:v>1.7922696615042686E-4</c:v>
                      </c:pt>
                      <c:pt idx="45">
                        <c:v>2.0530129448236679E-4</c:v>
                      </c:pt>
                      <c:pt idx="46">
                        <c:v>2.3396071907602964E-4</c:v>
                      </c:pt>
                      <c:pt idx="47">
                        <c:v>2.6515256344971012E-4</c:v>
                      </c:pt>
                      <c:pt idx="48">
                        <c:v>3.0044662851224122E-4</c:v>
                      </c:pt>
                      <c:pt idx="49">
                        <c:v>3.3768576985549424E-4</c:v>
                      </c:pt>
                      <c:pt idx="50">
                        <c:v>3.7087006805846563E-4</c:v>
                      </c:pt>
                      <c:pt idx="51">
                        <c:v>3.992028350593978E-4</c:v>
                      </c:pt>
                      <c:pt idx="52">
                        <c:v>4.3553846769955895E-4</c:v>
                      </c:pt>
                      <c:pt idx="53">
                        <c:v>4.8230525119494623E-4</c:v>
                      </c:pt>
                      <c:pt idx="54">
                        <c:v>5.3273493352371242E-4</c:v>
                      </c:pt>
                      <c:pt idx="55">
                        <c:v>5.8693300825641171E-4</c:v>
                      </c:pt>
                      <c:pt idx="56">
                        <c:v>6.4500130543587459E-4</c:v>
                      </c:pt>
                      <c:pt idx="57">
                        <c:v>7.0703788356604269E-4</c:v>
                      </c:pt>
                      <c:pt idx="58">
                        <c:v>7.7313697162623802E-4</c:v>
                      </c:pt>
                      <c:pt idx="59">
                        <c:v>8.4338896127988028E-4</c:v>
                      </c:pt>
                      <c:pt idx="60">
                        <c:v>9.1788041804090272E-4</c:v>
                      </c:pt>
                      <c:pt idx="61">
                        <c:v>9.9669413189119459E-4</c:v>
                      </c:pt>
                      <c:pt idx="62">
                        <c:v>9.5951220643075046E-4</c:v>
                      </c:pt>
                      <c:pt idx="63">
                        <c:v>1.0435583383991097E-3</c:v>
                      </c:pt>
                      <c:pt idx="64">
                        <c:v>1.1321790585733357E-3</c:v>
                      </c:pt>
                      <c:pt idx="65">
                        <c:v>1.2254453320713812E-3</c:v>
                      </c:pt>
                      <c:pt idx="66">
                        <c:v>1.323424504263482E-3</c:v>
                      </c:pt>
                      <c:pt idx="67">
                        <c:v>1.426180419450926E-3</c:v>
                      </c:pt>
                      <c:pt idx="68">
                        <c:v>1.5411102073802857E-3</c:v>
                      </c:pt>
                      <c:pt idx="69">
                        <c:v>1.6569638491960629E-3</c:v>
                      </c:pt>
                      <c:pt idx="70">
                        <c:v>1.778475253110303E-3</c:v>
                      </c:pt>
                      <c:pt idx="71">
                        <c:v>1.9662987249366892E-3</c:v>
                      </c:pt>
                      <c:pt idx="72">
                        <c:v>2.1164897441417357E-3</c:v>
                      </c:pt>
                      <c:pt idx="73">
                        <c:v>2.2750524328940189E-3</c:v>
                      </c:pt>
                      <c:pt idx="74">
                        <c:v>2.4362064905524214E-3</c:v>
                      </c:pt>
                      <c:pt idx="75">
                        <c:v>2.5958166837139742E-3</c:v>
                      </c:pt>
                      <c:pt idx="76">
                        <c:v>2.7223063476591899E-3</c:v>
                      </c:pt>
                      <c:pt idx="77">
                        <c:v>2.8555128778888022E-3</c:v>
                      </c:pt>
                      <c:pt idx="78">
                        <c:v>2.9955626498916299E-3</c:v>
                      </c:pt>
                      <c:pt idx="79">
                        <c:v>3.1425836596925601E-3</c:v>
                      </c:pt>
                      <c:pt idx="80">
                        <c:v>3.2967049158265974E-3</c:v>
                      </c:pt>
                      <c:pt idx="81">
                        <c:v>3.4580559570648009E-3</c:v>
                      </c:pt>
                      <c:pt idx="82">
                        <c:v>3.6267663705853827E-3</c:v>
                      </c:pt>
                      <c:pt idx="83">
                        <c:v>3.7998766224188142E-3</c:v>
                      </c:pt>
                      <c:pt idx="84">
                        <c:v>3.9855206253017724E-3</c:v>
                      </c:pt>
                      <c:pt idx="85">
                        <c:v>4.1781139215057456E-3</c:v>
                      </c:pt>
                      <c:pt idx="86">
                        <c:v>4.3777453039025626E-3</c:v>
                      </c:pt>
                      <c:pt idx="87">
                        <c:v>4.5845018889188087E-3</c:v>
                      </c:pt>
                      <c:pt idx="88">
                        <c:v>4.7984690720073893E-3</c:v>
                      </c:pt>
                      <c:pt idx="89">
                        <c:v>5.0197304448905211E-3</c:v>
                      </c:pt>
                      <c:pt idx="90">
                        <c:v>5.2483677730211752E-3</c:v>
                      </c:pt>
                      <c:pt idx="91">
                        <c:v>5.4844609521041013E-3</c:v>
                      </c:pt>
                      <c:pt idx="92">
                        <c:v>5.7280880077217036E-3</c:v>
                      </c:pt>
                      <c:pt idx="93">
                        <c:v>5.9793250435611822E-3</c:v>
                      </c:pt>
                      <c:pt idx="94">
                        <c:v>6.2382462833751881E-3</c:v>
                      </c:pt>
                      <c:pt idx="95">
                        <c:v>6.504924023571672E-3</c:v>
                      </c:pt>
                      <c:pt idx="96">
                        <c:v>6.8002865578196629E-3</c:v>
                      </c:pt>
                      <c:pt idx="97">
                        <c:v>7.089713486503251E-3</c:v>
                      </c:pt>
                      <c:pt idx="98">
                        <c:v>7.5015519075969867E-3</c:v>
                      </c:pt>
                      <c:pt idx="99">
                        <c:v>7.837543924558878E-3</c:v>
                      </c:pt>
                      <c:pt idx="100">
                        <c:v>8.1862864789423555E-3</c:v>
                      </c:pt>
                      <c:pt idx="101">
                        <c:v>8.5479564595675201E-3</c:v>
                      </c:pt>
                      <c:pt idx="102">
                        <c:v>9.3107783720253294E-3</c:v>
                      </c:pt>
                      <c:pt idx="103">
                        <c:v>1.0127391094476166E-2</c:v>
                      </c:pt>
                      <c:pt idx="104">
                        <c:v>1.0999144754034053E-2</c:v>
                      </c:pt>
                      <c:pt idx="105">
                        <c:v>1.1927354823782352E-2</c:v>
                      </c:pt>
                      <c:pt idx="106">
                        <c:v>1.2913227429327356E-2</c:v>
                      </c:pt>
                      <c:pt idx="107">
                        <c:v>1.3957682647327309E-2</c:v>
                      </c:pt>
                      <c:pt idx="108">
                        <c:v>1.5062276715064816E-2</c:v>
                      </c:pt>
                      <c:pt idx="109">
                        <c:v>1.6228166643484403E-2</c:v>
                      </c:pt>
                      <c:pt idx="110">
                        <c:v>1.7456467964896839E-2</c:v>
                      </c:pt>
                    </c:numCache>
                  </c:numRef>
                </c:yVal>
                <c:smooth val="0"/>
                <c:extLst xmlns:c15="http://schemas.microsoft.com/office/drawing/2012/chart">
                  <c:ext xmlns:c16="http://schemas.microsoft.com/office/drawing/2014/chart" uri="{C3380CC4-5D6E-409C-BE32-E72D297353CC}">
                    <c16:uniqueId val="{0000000D-ABDB-45DF-A6E6-2035B0847662}"/>
                  </c:ext>
                </c:extLst>
              </c15:ser>
            </c15:filteredScatterSeries>
            <c15:filteredScatterSeries>
              <c15:ser>
                <c:idx val="15"/>
                <c:order val="16"/>
                <c:tx>
                  <c:v>F105 IL with arch action</c:v>
                </c:tx>
                <c:spPr>
                  <a:ln w="19050" cap="rnd">
                    <a:solidFill>
                      <a:schemeClr val="tx1"/>
                    </a:solidFill>
                    <a:prstDash val="dash"/>
                    <a:round/>
                  </a:ln>
                  <a:effectLst/>
                </c:spPr>
                <c:marker>
                  <c:symbol val="none"/>
                </c:marker>
                <c:xVal>
                  <c:numRef>
                    <c:extLst xmlns:c15="http://schemas.microsoft.com/office/drawing/2012/chart">
                      <c:ext xmlns:c15="http://schemas.microsoft.com/office/drawing/2012/chart" uri="{02D57815-91ED-43cb-92C2-25804820EDAC}">
                        <c15:formulaRef>
                          <c15:sqref>'c'!$F$277:$F$387</c15:sqref>
                        </c15:formulaRef>
                      </c:ext>
                    </c:extLst>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extLst xmlns:c15="http://schemas.microsoft.com/office/drawing/2012/chart">
                      <c:ext xmlns:c15="http://schemas.microsoft.com/office/drawing/2012/chart" uri="{02D57815-91ED-43cb-92C2-25804820EDAC}">
                        <c15:formulaRef>
                          <c15:sqref>'c'!$M$277:$M$387</c15:sqref>
                        </c15:formulaRef>
                      </c:ext>
                    </c:extLst>
                    <c:numCache>
                      <c:formatCode>General</c:formatCode>
                      <c:ptCount val="111"/>
                      <c:pt idx="1">
                        <c:v>1.1113999936810894E-10</c:v>
                      </c:pt>
                      <c:pt idx="2">
                        <c:v>3.9085356812067546E-10</c:v>
                      </c:pt>
                      <c:pt idx="3">
                        <c:v>8.3427691384768017E-10</c:v>
                      </c:pt>
                      <c:pt idx="4">
                        <c:v>1.386608795981331E-9</c:v>
                      </c:pt>
                      <c:pt idx="5">
                        <c:v>2.0226752460063418E-9</c:v>
                      </c:pt>
                      <c:pt idx="6">
                        <c:v>2.7289644380883384E-9</c:v>
                      </c:pt>
                      <c:pt idx="7">
                        <c:v>3.4913347001537886E-9</c:v>
                      </c:pt>
                      <c:pt idx="8">
                        <c:v>3.4543392079667602E-9</c:v>
                      </c:pt>
                      <c:pt idx="9">
                        <c:v>3.693762720302251E-9</c:v>
                      </c:pt>
                      <c:pt idx="10">
                        <c:v>4.5717984237724724E-9</c:v>
                      </c:pt>
                      <c:pt idx="11">
                        <c:v>5.1497661521165076E-9</c:v>
                      </c:pt>
                      <c:pt idx="12">
                        <c:v>1.8874537178687715E-8</c:v>
                      </c:pt>
                      <c:pt idx="13">
                        <c:v>3.8466304563914844E-8</c:v>
                      </c:pt>
                      <c:pt idx="14">
                        <c:v>6.0949680753147779E-8</c:v>
                      </c:pt>
                      <c:pt idx="15">
                        <c:v>8.844075414107319E-8</c:v>
                      </c:pt>
                      <c:pt idx="16">
                        <c:v>1.2017884915995771E-7</c:v>
                      </c:pt>
                      <c:pt idx="17">
                        <c:v>1.637265068013284E-7</c:v>
                      </c:pt>
                      <c:pt idx="18">
                        <c:v>1.7894685808443051E-7</c:v>
                      </c:pt>
                      <c:pt idx="19">
                        <c:v>1.9658830059935706E-7</c:v>
                      </c:pt>
                      <c:pt idx="20">
                        <c:v>2.1782290756683059E-7</c:v>
                      </c:pt>
                      <c:pt idx="21">
                        <c:v>7.3926863324290077E-7</c:v>
                      </c:pt>
                      <c:pt idx="22">
                        <c:v>1.5274690072712609E-6</c:v>
                      </c:pt>
                      <c:pt idx="23">
                        <c:v>2.7605551119096361E-6</c:v>
                      </c:pt>
                      <c:pt idx="24">
                        <c:v>3.5046970967206028E-6</c:v>
                      </c:pt>
                      <c:pt idx="25">
                        <c:v>4.9159810657185231E-6</c:v>
                      </c:pt>
                      <c:pt idx="26">
                        <c:v>6.758946534605063E-6</c:v>
                      </c:pt>
                      <c:pt idx="27">
                        <c:v>9.4264381886135586E-6</c:v>
                      </c:pt>
                      <c:pt idx="28">
                        <c:v>1.3104463288953433E-5</c:v>
                      </c:pt>
                      <c:pt idx="29">
                        <c:v>1.7513963495895657E-5</c:v>
                      </c:pt>
                      <c:pt idx="30">
                        <c:v>2.2682228936844401E-5</c:v>
                      </c:pt>
                      <c:pt idx="31">
                        <c:v>2.8631892214866364E-5</c:v>
                      </c:pt>
                      <c:pt idx="32">
                        <c:v>3.5777512616206827E-5</c:v>
                      </c:pt>
                      <c:pt idx="33">
                        <c:v>4.2473286411583291E-5</c:v>
                      </c:pt>
                      <c:pt idx="34">
                        <c:v>4.7124655814654581E-5</c:v>
                      </c:pt>
                      <c:pt idx="35">
                        <c:v>5.887865245142145E-5</c:v>
                      </c:pt>
                      <c:pt idx="36">
                        <c:v>6.7359040290702269E-5</c:v>
                      </c:pt>
                      <c:pt idx="37">
                        <c:v>7.6964746816096747E-5</c:v>
                      </c:pt>
                      <c:pt idx="38">
                        <c:v>8.7744909369710439E-5</c:v>
                      </c:pt>
                      <c:pt idx="39">
                        <c:v>9.9749127720937745E-5</c:v>
                      </c:pt>
                      <c:pt idx="40">
                        <c:v>1.1302634086549948E-4</c:v>
                      </c:pt>
                      <c:pt idx="41">
                        <c:v>1.2762409128050999E-4</c:v>
                      </c:pt>
                      <c:pt idx="42">
                        <c:v>1.4358805304567055E-4</c:v>
                      </c:pt>
                      <c:pt idx="43">
                        <c:v>1.6096174754366357E-4</c:v>
                      </c:pt>
                      <c:pt idx="44">
                        <c:v>1.7978638421738577E-4</c:v>
                      </c:pt>
                      <c:pt idx="45">
                        <c:v>2.0535040165456391E-4</c:v>
                      </c:pt>
                      <c:pt idx="46">
                        <c:v>2.340138819214913E-4</c:v>
                      </c:pt>
                      <c:pt idx="47">
                        <c:v>2.6520993097891205E-4</c:v>
                      </c:pt>
                      <c:pt idx="48">
                        <c:v>3.0050896385971551E-4</c:v>
                      </c:pt>
                      <c:pt idx="49">
                        <c:v>3.3775292861303974E-4</c:v>
                      </c:pt>
                      <c:pt idx="50">
                        <c:v>3.709417071890615E-4</c:v>
                      </c:pt>
                      <c:pt idx="51">
                        <c:v>3.9927859797680477E-4</c:v>
                      </c:pt>
                      <c:pt idx="52">
                        <c:v>4.3678241292898845E-4</c:v>
                      </c:pt>
                      <c:pt idx="53">
                        <c:v>4.8367044179855294E-4</c:v>
                      </c:pt>
                      <c:pt idx="54">
                        <c:v>5.3423040464884721E-4</c:v>
                      </c:pt>
                      <c:pt idx="55">
                        <c:v>5.8856813481953101E-4</c:v>
                      </c:pt>
                      <c:pt idx="56">
                        <c:v>6.4678580451235093E-4</c:v>
                      </c:pt>
                      <c:pt idx="57">
                        <c:v>7.0898181675298026E-4</c:v>
                      </c:pt>
                      <c:pt idx="58">
                        <c:v>7.7525074603851493E-4</c:v>
                      </c:pt>
                      <c:pt idx="59">
                        <c:v>8.4568333047425025E-4</c:v>
                      </c:pt>
                      <c:pt idx="60">
                        <c:v>9.2036648185836489E-4</c:v>
                      </c:pt>
                      <c:pt idx="61">
                        <c:v>9.9938333672386424E-4</c:v>
                      </c:pt>
                      <c:pt idx="62">
                        <c:v>9.6159274258980653E-4</c:v>
                      </c:pt>
                      <c:pt idx="63">
                        <c:v>1.0458309489576878E-3</c:v>
                      </c:pt>
                      <c:pt idx="64">
                        <c:v>1.1346558612407897E-3</c:v>
                      </c:pt>
                      <c:pt idx="65">
                        <c:v>1.228138815730652E-3</c:v>
                      </c:pt>
                      <c:pt idx="66">
                        <c:v>1.3263475254089189E-3</c:v>
                      </c:pt>
                      <c:pt idx="67">
                        <c:v>1.4293461991406286E-3</c:v>
                      </c:pt>
                      <c:pt idx="68">
                        <c:v>1.5445418930743445E-3</c:v>
                      </c:pt>
                      <c:pt idx="69">
                        <c:v>1.6606702924234506E-3</c:v>
                      </c:pt>
                      <c:pt idx="70">
                        <c:v>1.7824717377291992E-3</c:v>
                      </c:pt>
                      <c:pt idx="71">
                        <c:v>1.9100290823675108E-3</c:v>
                      </c:pt>
                      <c:pt idx="72">
                        <c:v>2.1212166362948961E-3</c:v>
                      </c:pt>
                      <c:pt idx="73">
                        <c:v>2.2801442802979715E-3</c:v>
                      </c:pt>
                      <c:pt idx="74">
                        <c:v>2.4417650242933601E-3</c:v>
                      </c:pt>
                      <c:pt idx="75">
                        <c:v>2.6017827363318037E-3</c:v>
                      </c:pt>
                      <c:pt idx="76">
                        <c:v>2.7284820323790651E-3</c:v>
                      </c:pt>
                      <c:pt idx="77">
                        <c:v>2.8619119630298412E-3</c:v>
                      </c:pt>
                      <c:pt idx="78">
                        <c:v>3.0021994100350529E-3</c:v>
                      </c:pt>
                      <c:pt idx="79">
                        <c:v>3.149472900787141E-3</c:v>
                      </c:pt>
                      <c:pt idx="80">
                        <c:v>3.3038619995413784E-3</c:v>
                      </c:pt>
                      <c:pt idx="81">
                        <c:v>3.4654968217482378E-3</c:v>
                      </c:pt>
                      <c:pt idx="82">
                        <c:v>3.6345075514849098E-3</c:v>
                      </c:pt>
                      <c:pt idx="83">
                        <c:v>3.8078671814578812E-3</c:v>
                      </c:pt>
                      <c:pt idx="84">
                        <c:v>3.9938759564089469E-3</c:v>
                      </c:pt>
                      <c:pt idx="85">
                        <c:v>4.1868471615238339E-3</c:v>
                      </c:pt>
                      <c:pt idx="86">
                        <c:v>4.3868698237022677E-3</c:v>
                      </c:pt>
                      <c:pt idx="87">
                        <c:v>4.5940312948245764E-3</c:v>
                      </c:pt>
                      <c:pt idx="88">
                        <c:v>4.8084172056237131E-3</c:v>
                      </c:pt>
                      <c:pt idx="89">
                        <c:v>5.0301113844823473E-3</c:v>
                      </c:pt>
                      <c:pt idx="90">
                        <c:v>5.2591958339308423E-3</c:v>
                      </c:pt>
                      <c:pt idx="91">
                        <c:v>5.4957506869749151E-3</c:v>
                      </c:pt>
                      <c:pt idx="92">
                        <c:v>5.7398542073121128E-3</c:v>
                      </c:pt>
                      <c:pt idx="93">
                        <c:v>5.9915827363849206E-3</c:v>
                      </c:pt>
                      <c:pt idx="94">
                        <c:v>6.2510107352757426E-3</c:v>
                      </c:pt>
                      <c:pt idx="95">
                        <c:v>6.5182107392005618E-3</c:v>
                      </c:pt>
                      <c:pt idx="96">
                        <c:v>6.8141362708563418E-3</c:v>
                      </c:pt>
                      <c:pt idx="97">
                        <c:v>7.104125586237635E-3</c:v>
                      </c:pt>
                      <c:pt idx="98">
                        <c:v>7.5166783903651791E-3</c:v>
                      </c:pt>
                      <c:pt idx="99">
                        <c:v>7.8533016683889189E-3</c:v>
                      </c:pt>
                      <c:pt idx="100">
                        <c:v>8.2026976431423884E-3</c:v>
                      </c:pt>
                      <c:pt idx="101">
                        <c:v>8.56504356828117E-3</c:v>
                      </c:pt>
                      <c:pt idx="102">
                        <c:v>9.3292864139727164E-3</c:v>
                      </c:pt>
                      <c:pt idx="103">
                        <c:v>1.0147414594515139E-2</c:v>
                      </c:pt>
                      <c:pt idx="104">
                        <c:v>1.102078121275623E-2</c:v>
                      </c:pt>
                      <c:pt idx="105">
                        <c:v>1.1950704735045219E-2</c:v>
                      </c:pt>
                      <c:pt idx="106">
                        <c:v>1.2938394227385706E-2</c:v>
                      </c:pt>
                      <c:pt idx="107">
                        <c:v>1.3984772505004479E-2</c:v>
                      </c:pt>
                      <c:pt idx="108">
                        <c:v>1.5091399126777231E-2</c:v>
                      </c:pt>
                      <c:pt idx="109">
                        <c:v>1.6259434115213391E-2</c:v>
                      </c:pt>
                      <c:pt idx="110">
                        <c:v>1.7489996009629326E-2</c:v>
                      </c:pt>
                    </c:numCache>
                  </c:numRef>
                </c:yVal>
                <c:smooth val="0"/>
                <c:extLst xmlns:c15="http://schemas.microsoft.com/office/drawing/2012/chart">
                  <c:ext xmlns:c16="http://schemas.microsoft.com/office/drawing/2014/chart" uri="{C3380CC4-5D6E-409C-BE32-E72D297353CC}">
                    <c16:uniqueId val="{0000000F-ABDB-45DF-A6E6-2035B0847662}"/>
                  </c:ext>
                </c:extLst>
              </c15:ser>
            </c15:filteredScatterSeries>
            <c15:filteredScatterSeries>
              <c15:ser>
                <c:idx val="17"/>
                <c:order val="18"/>
                <c:tx>
                  <c:v>IL, Pipe 3, 48% straked</c:v>
                </c:tx>
                <c:spPr>
                  <a:ln w="25400" cap="rnd">
                    <a:noFill/>
                    <a:round/>
                  </a:ln>
                  <a:effectLst/>
                </c:spPr>
                <c:marker>
                  <c:symbol val="circle"/>
                  <c:size val="7"/>
                  <c:spPr>
                    <a:solidFill>
                      <a:srgbClr val="FF0000"/>
                    </a:solidFill>
                    <a:ln w="9525">
                      <a:solidFill>
                        <a:srgbClr val="FF0000"/>
                      </a:solidFill>
                    </a:ln>
                    <a:effectLst/>
                  </c:spPr>
                </c:marker>
                <c:xVal>
                  <c:numRef>
                    <c:extLst xmlns:c15="http://schemas.microsoft.com/office/drawing/2012/chart">
                      <c:ext xmlns:c15="http://schemas.microsoft.com/office/drawing/2012/chart" uri="{02D57815-91ED-43cb-92C2-25804820EDAC}">
                        <c15:formulaRef>
                          <c15:sqref>m!$FG$136:$FK$136</c15:sqref>
                        </c15:formulaRef>
                      </c:ext>
                    </c:extLst>
                    <c:numCache>
                      <c:formatCode>General</c:formatCode>
                      <c:ptCount val="5"/>
                      <c:pt idx="0">
                        <c:v>0.96048642325127032</c:v>
                      </c:pt>
                      <c:pt idx="1">
                        <c:v>4.1576856582323369</c:v>
                      </c:pt>
                    </c:numCache>
                  </c:numRef>
                </c:xVal>
                <c:yVal>
                  <c:numRef>
                    <c:extLst xmlns:c15="http://schemas.microsoft.com/office/drawing/2012/chart">
                      <c:ext xmlns:c15="http://schemas.microsoft.com/office/drawing/2012/chart" uri="{02D57815-91ED-43cb-92C2-25804820EDAC}">
                        <c15:formulaRef>
                          <c15:sqref>m!$FG$145:$FK$145</c15:sqref>
                        </c15:formulaRef>
                      </c:ext>
                    </c:extLst>
                    <c:numCache>
                      <c:formatCode>General</c:formatCode>
                      <c:ptCount val="5"/>
                      <c:pt idx="0">
                        <c:v>1.350413529163887E-9</c:v>
                      </c:pt>
                      <c:pt idx="1">
                        <c:v>3.1271302032692475E-5</c:v>
                      </c:pt>
                    </c:numCache>
                  </c:numRef>
                </c:yVal>
                <c:smooth val="0"/>
                <c:extLst xmlns:c15="http://schemas.microsoft.com/office/drawing/2012/chart">
                  <c:ext xmlns:c16="http://schemas.microsoft.com/office/drawing/2014/chart" uri="{C3380CC4-5D6E-409C-BE32-E72D297353CC}">
                    <c16:uniqueId val="{00000011-ABDB-45DF-A6E6-2035B0847662}"/>
                  </c:ext>
                </c:extLst>
              </c15:ser>
            </c15:filteredScatterSeries>
            <c15:filteredScatterSeries>
              <c15:ser>
                <c:idx val="19"/>
                <c:order val="20"/>
                <c:tx>
                  <c:v>IL, Pipe 3, 75% straked</c:v>
                </c:tx>
                <c:spPr>
                  <a:ln w="25400" cap="rnd">
                    <a:noFill/>
                    <a:round/>
                  </a:ln>
                  <a:effectLst/>
                </c:spPr>
                <c:marker>
                  <c:symbol val="circle"/>
                  <c:size val="7"/>
                  <c:spPr>
                    <a:solidFill>
                      <a:srgbClr val="FFC000"/>
                    </a:solidFill>
                    <a:ln w="9525">
                      <a:solidFill>
                        <a:srgbClr val="FFC000"/>
                      </a:solidFill>
                    </a:ln>
                    <a:effectLst/>
                  </c:spPr>
                </c:marker>
                <c:xVal>
                  <c:numRef>
                    <c:extLst xmlns:c15="http://schemas.microsoft.com/office/drawing/2012/chart">
                      <c:ext xmlns:c15="http://schemas.microsoft.com/office/drawing/2012/chart" uri="{02D57815-91ED-43cb-92C2-25804820EDAC}">
                        <c15:formulaRef>
                          <c15:sqref>m!$FB$136:$FF$136</c15:sqref>
                        </c15:formulaRef>
                      </c:ext>
                    </c:extLst>
                    <c:numCache>
                      <c:formatCode>General</c:formatCode>
                      <c:ptCount val="5"/>
                      <c:pt idx="0">
                        <c:v>0.96115497233793457</c:v>
                      </c:pt>
                      <c:pt idx="1">
                        <c:v>4.1565568612314019</c:v>
                      </c:pt>
                    </c:numCache>
                  </c:numRef>
                </c:xVal>
                <c:yVal>
                  <c:numRef>
                    <c:extLst xmlns:c15="http://schemas.microsoft.com/office/drawing/2012/chart">
                      <c:ext xmlns:c15="http://schemas.microsoft.com/office/drawing/2012/chart" uri="{02D57815-91ED-43cb-92C2-25804820EDAC}">
                        <c15:formulaRef>
                          <c15:sqref>m!$FB$145:$FF$145</c15:sqref>
                        </c15:formulaRef>
                      </c:ext>
                    </c:extLst>
                    <c:numCache>
                      <c:formatCode>General</c:formatCode>
                      <c:ptCount val="5"/>
                      <c:pt idx="0">
                        <c:v>8.208446219430382E-10</c:v>
                      </c:pt>
                      <c:pt idx="1">
                        <c:v>2.9085125566320836E-7</c:v>
                      </c:pt>
                    </c:numCache>
                  </c:numRef>
                </c:yVal>
                <c:smooth val="0"/>
                <c:extLst xmlns:c15="http://schemas.microsoft.com/office/drawing/2012/chart">
                  <c:ext xmlns:c16="http://schemas.microsoft.com/office/drawing/2014/chart" uri="{C3380CC4-5D6E-409C-BE32-E72D297353CC}">
                    <c16:uniqueId val="{00000013-ABDB-45DF-A6E6-2035B0847662}"/>
                  </c:ext>
                </c:extLst>
              </c15:ser>
            </c15:filteredScatterSeries>
            <c15:filteredScatterSeries>
              <c15:ser>
                <c:idx val="21"/>
                <c:order val="22"/>
                <c:tx>
                  <c:v>IL, Pipe 3, 85% straked</c:v>
                </c:tx>
                <c:spPr>
                  <a:ln w="25400" cap="rnd">
                    <a:noFill/>
                    <a:round/>
                  </a:ln>
                  <a:effectLst/>
                </c:spPr>
                <c:marker>
                  <c:symbol val="circle"/>
                  <c:size val="7"/>
                  <c:spPr>
                    <a:solidFill>
                      <a:srgbClr val="00B050"/>
                    </a:solidFill>
                    <a:ln w="9525">
                      <a:solidFill>
                        <a:srgbClr val="00B050"/>
                      </a:solidFill>
                    </a:ln>
                    <a:effectLst/>
                  </c:spPr>
                </c:marker>
                <c:xVal>
                  <c:numRef>
                    <c:extLst xmlns:c15="http://schemas.microsoft.com/office/drawing/2012/chart">
                      <c:ext xmlns:c15="http://schemas.microsoft.com/office/drawing/2012/chart" uri="{02D57815-91ED-43cb-92C2-25804820EDAC}">
                        <c15:formulaRef>
                          <c15:sqref>m!$EW$136:$FA$136</c15:sqref>
                        </c15:formulaRef>
                      </c:ext>
                    </c:extLst>
                    <c:numCache>
                      <c:formatCode>General</c:formatCode>
                      <c:ptCount val="5"/>
                      <c:pt idx="0">
                        <c:v>1.275990699224635</c:v>
                      </c:pt>
                      <c:pt idx="1">
                        <c:v>4.2191067315113493</c:v>
                      </c:pt>
                    </c:numCache>
                  </c:numRef>
                </c:xVal>
                <c:yVal>
                  <c:numRef>
                    <c:extLst xmlns:c15="http://schemas.microsoft.com/office/drawing/2012/chart">
                      <c:ext xmlns:c15="http://schemas.microsoft.com/office/drawing/2012/chart" uri="{02D57815-91ED-43cb-92C2-25804820EDAC}">
                        <c15:formulaRef>
                          <c15:sqref>m!$EW$145:$FA$145</c15:sqref>
                        </c15:formulaRef>
                      </c:ext>
                    </c:extLst>
                    <c:numCache>
                      <c:formatCode>General</c:formatCode>
                      <c:ptCount val="5"/>
                      <c:pt idx="0">
                        <c:v>1.3288504775923112E-9</c:v>
                      </c:pt>
                      <c:pt idx="1">
                        <c:v>1.6138276642004433E-9</c:v>
                      </c:pt>
                    </c:numCache>
                  </c:numRef>
                </c:yVal>
                <c:smooth val="0"/>
                <c:extLst xmlns:c15="http://schemas.microsoft.com/office/drawing/2012/chart">
                  <c:ext xmlns:c16="http://schemas.microsoft.com/office/drawing/2014/chart" uri="{C3380CC4-5D6E-409C-BE32-E72D297353CC}">
                    <c16:uniqueId val="{00000015-ABDB-45DF-A6E6-2035B0847662}"/>
                  </c:ext>
                </c:extLst>
              </c15:ser>
            </c15:filteredScatterSeries>
            <c15:filteredScatterSeries>
              <c15:ser>
                <c:idx val="23"/>
                <c:order val="24"/>
                <c:tx>
                  <c:v>IL, Pipe 3, 95% straked</c:v>
                </c:tx>
                <c:spPr>
                  <a:ln w="25400" cap="rnd">
                    <a:noFill/>
                    <a:round/>
                  </a:ln>
                  <a:effectLst/>
                </c:spPr>
                <c:marker>
                  <c:symbol val="circle"/>
                  <c:size val="7"/>
                  <c:spPr>
                    <a:solidFill>
                      <a:srgbClr val="00B0F0"/>
                    </a:solidFill>
                    <a:ln w="9525">
                      <a:solidFill>
                        <a:srgbClr val="00B0F0"/>
                      </a:solidFill>
                    </a:ln>
                    <a:effectLst/>
                  </c:spPr>
                </c:marker>
                <c:xVal>
                  <c:numRef>
                    <c:extLst xmlns:c15="http://schemas.microsoft.com/office/drawing/2012/chart">
                      <c:ext xmlns:c15="http://schemas.microsoft.com/office/drawing/2012/chart" uri="{02D57815-91ED-43cb-92C2-25804820EDAC}">
                        <c15:formulaRef>
                          <c15:sqref>m!$ER$136:$EV$136</c15:sqref>
                        </c15:formulaRef>
                      </c:ext>
                    </c:extLst>
                    <c:numCache>
                      <c:formatCode>General</c:formatCode>
                      <c:ptCount val="5"/>
                      <c:pt idx="0">
                        <c:v>1.1585549834018851</c:v>
                      </c:pt>
                      <c:pt idx="1">
                        <c:v>5.4851641724022757</c:v>
                      </c:pt>
                    </c:numCache>
                  </c:numRef>
                </c:xVal>
                <c:yVal>
                  <c:numRef>
                    <c:extLst xmlns:c15="http://schemas.microsoft.com/office/drawing/2012/chart">
                      <c:ext xmlns:c15="http://schemas.microsoft.com/office/drawing/2012/chart" uri="{02D57815-91ED-43cb-92C2-25804820EDAC}">
                        <c15:formulaRef>
                          <c15:sqref>m!$ER$145:$EV$145</c15:sqref>
                        </c15:formulaRef>
                      </c:ext>
                    </c:extLst>
                    <c:numCache>
                      <c:formatCode>General</c:formatCode>
                      <c:ptCount val="5"/>
                      <c:pt idx="0">
                        <c:v>1.0470725627886784E-9</c:v>
                      </c:pt>
                      <c:pt idx="1">
                        <c:v>7.3283937121966262E-10</c:v>
                      </c:pt>
                    </c:numCache>
                  </c:numRef>
                </c:yVal>
                <c:smooth val="0"/>
                <c:extLst xmlns:c15="http://schemas.microsoft.com/office/drawing/2012/chart">
                  <c:ext xmlns:c16="http://schemas.microsoft.com/office/drawing/2014/chart" uri="{C3380CC4-5D6E-409C-BE32-E72D297353CC}">
                    <c16:uniqueId val="{00000017-ABDB-45DF-A6E6-2035B0847662}"/>
                  </c:ext>
                </c:extLst>
              </c15:ser>
            </c15:filteredScatterSeries>
            <c15:filteredScatterSeries>
              <c15:ser>
                <c:idx val="25"/>
                <c:order val="26"/>
                <c:tx>
                  <c:v>IL, Pipe 3, 99% straked</c:v>
                </c:tx>
                <c:spPr>
                  <a:ln w="25400" cap="rnd">
                    <a:noFill/>
                    <a:round/>
                  </a:ln>
                  <a:effectLst/>
                </c:spPr>
                <c:marker>
                  <c:symbol val="circle"/>
                  <c:size val="7"/>
                  <c:spPr>
                    <a:solidFill>
                      <a:srgbClr val="002060"/>
                    </a:solidFill>
                    <a:ln w="9525">
                      <a:solidFill>
                        <a:srgbClr val="002060"/>
                      </a:solidFill>
                    </a:ln>
                    <a:effectLst/>
                  </c:spPr>
                </c:marker>
                <c:xVal>
                  <c:numRef>
                    <c:extLst xmlns:c15="http://schemas.microsoft.com/office/drawing/2012/chart">
                      <c:ext xmlns:c15="http://schemas.microsoft.com/office/drawing/2012/chart" uri="{02D57815-91ED-43cb-92C2-25804820EDAC}">
                        <c15:formulaRef>
                          <c15:sqref>m!$EM$136:$EQ$136</c15:sqref>
                        </c15:formulaRef>
                      </c:ext>
                    </c:extLst>
                    <c:numCache>
                      <c:formatCode>General</c:formatCode>
                      <c:ptCount val="5"/>
                      <c:pt idx="0">
                        <c:v>1.3105581476521337</c:v>
                      </c:pt>
                      <c:pt idx="1">
                        <c:v>4.4152380023408355</c:v>
                      </c:pt>
                    </c:numCache>
                  </c:numRef>
                </c:xVal>
                <c:yVal>
                  <c:numRef>
                    <c:extLst xmlns:c15="http://schemas.microsoft.com/office/drawing/2012/chart">
                      <c:ext xmlns:c15="http://schemas.microsoft.com/office/drawing/2012/chart" uri="{02D57815-91ED-43cb-92C2-25804820EDAC}">
                        <c15:formulaRef>
                          <c15:sqref>m!$EM$145:$EQ$145</c15:sqref>
                        </c15:formulaRef>
                      </c:ext>
                    </c:extLst>
                    <c:numCache>
                      <c:formatCode>General</c:formatCode>
                      <c:ptCount val="5"/>
                      <c:pt idx="0">
                        <c:v>9.8992244701818531E-10</c:v>
                      </c:pt>
                      <c:pt idx="1">
                        <c:v>2.9793051300996812E-9</c:v>
                      </c:pt>
                    </c:numCache>
                  </c:numRef>
                </c:yVal>
                <c:smooth val="0"/>
                <c:extLst xmlns:c15="http://schemas.microsoft.com/office/drawing/2012/chart">
                  <c:ext xmlns:c16="http://schemas.microsoft.com/office/drawing/2014/chart" uri="{C3380CC4-5D6E-409C-BE32-E72D297353CC}">
                    <c16:uniqueId val="{00000019-ABDB-45DF-A6E6-2035B0847662}"/>
                  </c:ext>
                </c:extLst>
              </c15:ser>
            </c15:filteredScatterSeries>
          </c:ext>
        </c:extLst>
      </c:scatterChart>
      <c:valAx>
        <c:axId val="624399680"/>
        <c:scaling>
          <c:logBase val="10"/>
          <c:orientation val="minMax"/>
          <c:max val="10"/>
          <c:min val="0.1"/>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Current Velocity</a:t>
                </a:r>
                <a:r>
                  <a:rPr lang="en-US" sz="1800" baseline="0">
                    <a:effectLst/>
                  </a:rPr>
                  <a:t> (m/s)</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At val="1.0000000000000007E-13"/>
        <c:crossBetween val="midCat"/>
      </c:valAx>
      <c:valAx>
        <c:axId val="624400008"/>
        <c:scaling>
          <c:logBase val="10"/>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a:effectLst/>
                  </a:rPr>
                  <a:t>Fatigue Damage Rate (1/s)</a:t>
                </a:r>
              </a:p>
            </c:rich>
          </c:tx>
          <c:layout>
            <c:manualLayout>
              <c:xMode val="edge"/>
              <c:yMode val="edge"/>
              <c:x val="1.5012948089335246E-2"/>
              <c:y val="0.3132477884708855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At val="0.1"/>
        <c:crossBetween val="midCat"/>
      </c:valAx>
      <c:spPr>
        <a:noFill/>
        <a:ln w="12700">
          <a:solidFill>
            <a:srgbClr val="808080"/>
          </a:solidFill>
          <a:prstDash val="solid"/>
        </a:ln>
        <a:effectLst/>
      </c:spPr>
    </c:plotArea>
    <c:legend>
      <c:legendPos val="r"/>
      <c:layout>
        <c:manualLayout>
          <c:xMode val="edge"/>
          <c:yMode val="edge"/>
          <c:x val="0.77911502561743862"/>
          <c:y val="1.9530400580269343E-2"/>
          <c:w val="0.18185952966229807"/>
          <c:h val="0.51255969072242036"/>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85193607894172"/>
          <c:y val="2.4349477682811017E-2"/>
          <c:w val="0.68864169942029363"/>
          <c:h val="0.86113960113960109"/>
        </c:manualLayout>
      </c:layout>
      <c:scatterChart>
        <c:scatterStyle val="lineMarker"/>
        <c:varyColors val="0"/>
        <c:ser>
          <c:idx val="6"/>
          <c:order val="0"/>
          <c:tx>
            <c:v>Ormen Lange</c:v>
          </c:tx>
          <c:spPr>
            <a:ln w="25400" cap="rnd">
              <a:noFill/>
              <a:round/>
            </a:ln>
            <a:effectLst/>
          </c:spPr>
          <c:marker>
            <c:symbol val="circle"/>
            <c:size val="7"/>
            <c:spPr>
              <a:noFill/>
              <a:ln w="15875">
                <a:solidFill>
                  <a:schemeClr val="tx1"/>
                </a:solidFill>
              </a:ln>
              <a:effectLst/>
            </c:spPr>
          </c:marker>
          <c:xVal>
            <c:numRef>
              <c:f>m!$AF$136:$AO$136</c:f>
              <c:numCache>
                <c:formatCode>General</c:formatCode>
                <c:ptCount val="10"/>
                <c:pt idx="6">
                  <c:v>1.6143948063818636</c:v>
                </c:pt>
                <c:pt idx="7">
                  <c:v>1.9401411172244991</c:v>
                </c:pt>
                <c:pt idx="8">
                  <c:v>2.3020971953720357</c:v>
                </c:pt>
                <c:pt idx="9">
                  <c:v>2.7961447987028745</c:v>
                </c:pt>
              </c:numCache>
            </c:numRef>
          </c:xVal>
          <c:yVal>
            <c:numRef>
              <c:f>m!$AF$147:$AO$147</c:f>
              <c:numCache>
                <c:formatCode>General</c:formatCode>
                <c:ptCount val="10"/>
                <c:pt idx="6">
                  <c:v>1.1705955631365437</c:v>
                </c:pt>
                <c:pt idx="7">
                  <c:v>1.2438256570184547</c:v>
                </c:pt>
                <c:pt idx="8">
                  <c:v>1.329503627697955</c:v>
                </c:pt>
                <c:pt idx="9">
                  <c:v>1.4332281689727671</c:v>
                </c:pt>
              </c:numCache>
            </c:numRef>
          </c:yVal>
          <c:smooth val="0"/>
          <c:extLst>
            <c:ext xmlns:c16="http://schemas.microsoft.com/office/drawing/2014/chart" uri="{C3380CC4-5D6E-409C-BE32-E72D297353CC}">
              <c16:uniqueId val="{00000006-3200-4DF5-A1C1-6F3EDFC4F9F8}"/>
            </c:ext>
          </c:extLst>
        </c:ser>
        <c:ser>
          <c:idx val="7"/>
          <c:order val="1"/>
          <c:tx>
            <c:v>ExxonMobil</c:v>
          </c:tx>
          <c:spPr>
            <a:ln w="25400" cap="rnd">
              <a:noFill/>
              <a:round/>
            </a:ln>
            <a:effectLst/>
          </c:spPr>
          <c:marker>
            <c:symbol val="circle"/>
            <c:size val="7"/>
            <c:spPr>
              <a:noFill/>
              <a:ln w="15875">
                <a:solidFill>
                  <a:schemeClr val="accent3"/>
                </a:solidFill>
              </a:ln>
              <a:effectLst/>
            </c:spPr>
          </c:marker>
          <c:xVal>
            <c:numRef>
              <c:f>m!$AP$136:$BL$136</c:f>
              <c:numCache>
                <c:formatCode>General</c:formatCode>
                <c:ptCount val="23"/>
                <c:pt idx="0">
                  <c:v>0.87758664404220332</c:v>
                </c:pt>
                <c:pt idx="1">
                  <c:v>1.3074036031223182</c:v>
                </c:pt>
                <c:pt idx="2">
                  <c:v>2.5715201139747297</c:v>
                </c:pt>
                <c:pt idx="3">
                  <c:v>3.954965066154386</c:v>
                </c:pt>
                <c:pt idx="4">
                  <c:v>5.5317355430904875</c:v>
                </c:pt>
                <c:pt idx="19">
                  <c:v>0.85445300673745028</c:v>
                </c:pt>
                <c:pt idx="20">
                  <c:v>1.762675703425572</c:v>
                </c:pt>
                <c:pt idx="21">
                  <c:v>1.3296823406377316</c:v>
                </c:pt>
              </c:numCache>
            </c:numRef>
          </c:xVal>
          <c:yVal>
            <c:numRef>
              <c:f>m!$AP$147:$BL$147</c:f>
              <c:numCache>
                <c:formatCode>General</c:formatCode>
                <c:ptCount val="23"/>
                <c:pt idx="0">
                  <c:v>0.58724897089533346</c:v>
                </c:pt>
                <c:pt idx="1">
                  <c:v>0.62238665682071348</c:v>
                </c:pt>
                <c:pt idx="2">
                  <c:v>0.82315864572767339</c:v>
                </c:pt>
                <c:pt idx="3">
                  <c:v>0.99238094439661817</c:v>
                </c:pt>
                <c:pt idx="4">
                  <c:v>1.1419498503094647</c:v>
                </c:pt>
                <c:pt idx="19">
                  <c:v>0.62754351173786849</c:v>
                </c:pt>
                <c:pt idx="20">
                  <c:v>0.68625564597007416</c:v>
                </c:pt>
                <c:pt idx="21">
                  <c:v>0.62856028162981192</c:v>
                </c:pt>
              </c:numCache>
            </c:numRef>
          </c:yVal>
          <c:smooth val="0"/>
          <c:extLst>
            <c:ext xmlns:c16="http://schemas.microsoft.com/office/drawing/2014/chart" uri="{C3380CC4-5D6E-409C-BE32-E72D297353CC}">
              <c16:uniqueId val="{00000007-3200-4DF5-A1C1-6F3EDFC4F9F8}"/>
            </c:ext>
          </c:extLst>
        </c:ser>
        <c:ser>
          <c:idx val="14"/>
          <c:order val="3"/>
          <c:tx>
            <c:v>Pipe 2</c:v>
          </c:tx>
          <c:spPr>
            <a:ln w="25400" cap="rnd">
              <a:noFill/>
              <a:round/>
            </a:ln>
            <a:effectLst/>
          </c:spPr>
          <c:marker>
            <c:symbol val="circle"/>
            <c:size val="7"/>
            <c:spPr>
              <a:noFill/>
              <a:ln w="15875">
                <a:solidFill>
                  <a:srgbClr val="00B0F0"/>
                </a:solidFill>
              </a:ln>
              <a:effectLst/>
            </c:spPr>
          </c:marker>
          <c:xVal>
            <c:numRef>
              <c:f>m!$CP$136:$DT$136</c:f>
              <c:numCache>
                <c:formatCode>General</c:formatCode>
                <c:ptCount val="31"/>
                <c:pt idx="23">
                  <c:v>5.4616805280644583</c:v>
                </c:pt>
                <c:pt idx="24">
                  <c:v>9.3881308400269585</c:v>
                </c:pt>
                <c:pt idx="25">
                  <c:v>6.6301156322246957</c:v>
                </c:pt>
                <c:pt idx="27">
                  <c:v>8.9302718911312038</c:v>
                </c:pt>
              </c:numCache>
            </c:numRef>
          </c:xVal>
          <c:yVal>
            <c:numRef>
              <c:f>m!$CP$147:$DT$147</c:f>
              <c:numCache>
                <c:formatCode>General</c:formatCode>
                <c:ptCount val="31"/>
                <c:pt idx="23">
                  <c:v>0.55579877603292815</c:v>
                </c:pt>
                <c:pt idx="24">
                  <c:v>0.69023637842534158</c:v>
                </c:pt>
                <c:pt idx="25">
                  <c:v>0.59427806020602769</c:v>
                </c:pt>
                <c:pt idx="27">
                  <c:v>0.67064252374400601</c:v>
                </c:pt>
              </c:numCache>
            </c:numRef>
          </c:yVal>
          <c:smooth val="0"/>
          <c:extLst>
            <c:ext xmlns:c16="http://schemas.microsoft.com/office/drawing/2014/chart" uri="{C3380CC4-5D6E-409C-BE32-E72D297353CC}">
              <c16:uniqueId val="{00000009-3200-4DF5-A1C1-6F3EDFC4F9F8}"/>
            </c:ext>
          </c:extLst>
        </c:ser>
        <c:ser>
          <c:idx val="8"/>
          <c:order val="4"/>
          <c:tx>
            <c:v>Pipe 3 Smooth</c:v>
          </c:tx>
          <c:spPr>
            <a:ln w="25400" cap="rnd">
              <a:noFill/>
              <a:round/>
            </a:ln>
            <a:effectLst/>
          </c:spPr>
          <c:marker>
            <c:symbol val="circle"/>
            <c:size val="7"/>
            <c:spPr>
              <a:noFill/>
              <a:ln w="15875">
                <a:solidFill>
                  <a:schemeClr val="accent2"/>
                </a:solidFill>
              </a:ln>
              <a:effectLst/>
            </c:spPr>
          </c:marker>
          <c:xVal>
            <c:numRef>
              <c:f>m!$DU$136:$DX$136</c:f>
              <c:numCache>
                <c:formatCode>General</c:formatCode>
                <c:ptCount val="4"/>
                <c:pt idx="1">
                  <c:v>3.7649826229949488</c:v>
                </c:pt>
              </c:numCache>
            </c:numRef>
          </c:xVal>
          <c:yVal>
            <c:numRef>
              <c:f>m!$DU$147:$DX$147</c:f>
              <c:numCache>
                <c:formatCode>General</c:formatCode>
                <c:ptCount val="4"/>
                <c:pt idx="1">
                  <c:v>0.80587785374777376</c:v>
                </c:pt>
              </c:numCache>
            </c:numRef>
          </c:yVal>
          <c:smooth val="0"/>
          <c:extLst>
            <c:ext xmlns:c16="http://schemas.microsoft.com/office/drawing/2014/chart" uri="{C3380CC4-5D6E-409C-BE32-E72D297353CC}">
              <c16:uniqueId val="{0000000A-3200-4DF5-A1C1-6F3EDFC4F9F8}"/>
            </c:ext>
          </c:extLst>
        </c:ser>
        <c:ser>
          <c:idx val="10"/>
          <c:order val="5"/>
          <c:tx>
            <c:v>Pipe 3 Rough</c:v>
          </c:tx>
          <c:spPr>
            <a:ln w="25400" cap="rnd">
              <a:noFill/>
              <a:round/>
            </a:ln>
            <a:effectLst/>
          </c:spPr>
          <c:marker>
            <c:symbol val="circle"/>
            <c:size val="5"/>
            <c:spPr>
              <a:noFill/>
              <a:ln w="19050">
                <a:solidFill>
                  <a:schemeClr val="accent4"/>
                </a:solidFill>
              </a:ln>
              <a:effectLst/>
            </c:spPr>
          </c:marker>
          <c:xVal>
            <c:numRef>
              <c:f>m!$DY$136:$EL$136</c:f>
              <c:numCache>
                <c:formatCode>General</c:formatCode>
                <c:ptCount val="14"/>
                <c:pt idx="0">
                  <c:v>0.95944318952665708</c:v>
                </c:pt>
                <c:pt idx="1">
                  <c:v>4.0478778131308895</c:v>
                </c:pt>
                <c:pt idx="2">
                  <c:v>7.094716690461337</c:v>
                </c:pt>
                <c:pt idx="3">
                  <c:v>9.8213071433888182</c:v>
                </c:pt>
              </c:numCache>
            </c:numRef>
          </c:xVal>
          <c:yVal>
            <c:numRef>
              <c:f>m!$DY$147:$EL$147</c:f>
              <c:numCache>
                <c:formatCode>General</c:formatCode>
                <c:ptCount val="14"/>
                <c:pt idx="0">
                  <c:v>0.58195434428362602</c:v>
                </c:pt>
                <c:pt idx="1">
                  <c:v>0.76588537280865465</c:v>
                </c:pt>
                <c:pt idx="2">
                  <c:v>0.78430249370475802</c:v>
                </c:pt>
                <c:pt idx="3">
                  <c:v>0.82969149626429994</c:v>
                </c:pt>
              </c:numCache>
            </c:numRef>
          </c:yVal>
          <c:smooth val="0"/>
          <c:extLst>
            <c:ext xmlns:c16="http://schemas.microsoft.com/office/drawing/2014/chart" uri="{C3380CC4-5D6E-409C-BE32-E72D297353CC}">
              <c16:uniqueId val="{0000000B-3200-4DF5-A1C1-6F3EDFC4F9F8}"/>
            </c:ext>
          </c:extLst>
        </c:ser>
        <c:dLbls>
          <c:showLegendKey val="0"/>
          <c:showVal val="0"/>
          <c:showCatName val="0"/>
          <c:showSerName val="0"/>
          <c:showPercent val="0"/>
          <c:showBubbleSize val="0"/>
        </c:dLbls>
        <c:axId val="624399680"/>
        <c:axId val="624400008"/>
        <c:extLst>
          <c:ext xmlns:c15="http://schemas.microsoft.com/office/drawing/2012/chart" uri="{02D57815-91ED-43cb-92C2-25804820EDAC}">
            <c15:filteredScatterSeries>
              <c15:ser>
                <c:idx val="12"/>
                <c:order val="2"/>
                <c:tx>
                  <c:v>IL, Pipe 1</c:v>
                </c:tx>
                <c:spPr>
                  <a:ln w="25400" cap="rnd">
                    <a:noFill/>
                    <a:round/>
                  </a:ln>
                  <a:effectLst/>
                </c:spPr>
                <c:marker>
                  <c:symbol val="circle"/>
                  <c:size val="8"/>
                  <c:spPr>
                    <a:noFill/>
                    <a:ln w="15875">
                      <a:solidFill>
                        <a:schemeClr val="accent6"/>
                      </a:solidFill>
                    </a:ln>
                    <a:effectLst/>
                  </c:spPr>
                </c:marker>
                <c:xVal>
                  <c:numRef>
                    <c:extLst>
                      <c:ext uri="{02D57815-91ED-43cb-92C2-25804820EDAC}">
                        <c15:formulaRef>
                          <c15:sqref>m!$BM$136:$CO$136</c15:sqref>
                        </c15:formulaRef>
                      </c:ext>
                    </c:extLst>
                    <c:numCache>
                      <c:formatCode>General</c:formatCode>
                      <c:ptCount val="29"/>
                    </c:numCache>
                  </c:numRef>
                </c:xVal>
                <c:yVal>
                  <c:numRef>
                    <c:extLst>
                      <c:ext uri="{02D57815-91ED-43cb-92C2-25804820EDAC}">
                        <c15:formulaRef>
                          <c15:sqref>m!$BM$145:$CO$145</c15:sqref>
                        </c15:formulaRef>
                      </c:ext>
                    </c:extLst>
                    <c:numCache>
                      <c:formatCode>General</c:formatCode>
                      <c:ptCount val="29"/>
                    </c:numCache>
                  </c:numRef>
                </c:yVal>
                <c:smooth val="0"/>
                <c:extLst>
                  <c:ext xmlns:c16="http://schemas.microsoft.com/office/drawing/2014/chart" uri="{C3380CC4-5D6E-409C-BE32-E72D297353CC}">
                    <c16:uniqueId val="{00000008-3200-4DF5-A1C1-6F3EDFC4F9F8}"/>
                  </c:ext>
                </c:extLst>
              </c15:ser>
            </c15:filteredScatterSeries>
          </c:ext>
        </c:extLst>
      </c:scatterChart>
      <c:valAx>
        <c:axId val="624399680"/>
        <c:scaling>
          <c:logBase val="10"/>
          <c:orientation val="minMax"/>
          <c:max val="10"/>
          <c:min val="0.1"/>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Current Velocity</a:t>
                </a:r>
                <a:r>
                  <a:rPr lang="en-US" sz="1800" baseline="0">
                    <a:effectLst/>
                  </a:rPr>
                  <a:t> (m/s)</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At val="1.0000000000000007E-13"/>
        <c:crossBetween val="midCat"/>
      </c:valAx>
      <c:valAx>
        <c:axId val="624400008"/>
        <c:scaling>
          <c:logBase val="10"/>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a:effectLst/>
                  </a:rPr>
                  <a:t>Adjusted/Unadjusted Stiffness Ratio at Half the Dominant Wavelength</a:t>
                </a:r>
              </a:p>
            </c:rich>
          </c:tx>
          <c:layout>
            <c:manualLayout>
              <c:xMode val="edge"/>
              <c:yMode val="edge"/>
              <c:x val="8.3351517621232246E-3"/>
              <c:y val="9.482423671400049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At val="0.1"/>
        <c:crossBetween val="midCat"/>
      </c:valAx>
      <c:spPr>
        <a:noFill/>
        <a:ln w="12700">
          <a:solidFill>
            <a:srgbClr val="808080"/>
          </a:solidFill>
          <a:prstDash val="solid"/>
        </a:ln>
        <a:effectLst/>
      </c:spPr>
    </c:plotArea>
    <c:legend>
      <c:legendPos val="r"/>
      <c:layout>
        <c:manualLayout>
          <c:xMode val="edge"/>
          <c:yMode val="edge"/>
          <c:x val="0.81361700822455629"/>
          <c:y val="3.4725082441617879E-2"/>
          <c:w val="0.1548195373741888"/>
          <c:h val="0.47414944926755953"/>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scratch!$C$5:$C$140</c:f>
              <c:numCache>
                <c:formatCode>General</c:formatCode>
                <c:ptCount val="136"/>
                <c:pt idx="0">
                  <c:v>0.95931262586627597</c:v>
                </c:pt>
                <c:pt idx="1">
                  <c:v>0.99834484667710632</c:v>
                </c:pt>
                <c:pt idx="2">
                  <c:v>1.0251873368791706</c:v>
                </c:pt>
                <c:pt idx="3">
                  <c:v>1.0591191295369629</c:v>
                </c:pt>
                <c:pt idx="4">
                  <c:v>1.0919553052534239</c:v>
                </c:pt>
                <c:pt idx="5">
                  <c:v>1.1025793078802699</c:v>
                </c:pt>
                <c:pt idx="6">
                  <c:v>1.1028723403123721</c:v>
                </c:pt>
                <c:pt idx="7">
                  <c:v>1.1056289978340066</c:v>
                </c:pt>
                <c:pt idx="8">
                  <c:v>1.1231796436587596</c:v>
                </c:pt>
                <c:pt idx="9">
                  <c:v>1.1515535876000997</c:v>
                </c:pt>
                <c:pt idx="10">
                  <c:v>1.192510386981247</c:v>
                </c:pt>
                <c:pt idx="11">
                  <c:v>1.2077756213486157</c:v>
                </c:pt>
                <c:pt idx="12">
                  <c:v>1.2714352182320985</c:v>
                </c:pt>
                <c:pt idx="13">
                  <c:v>1.3933406344529753</c:v>
                </c:pt>
                <c:pt idx="14">
                  <c:v>1.4685528804095731</c:v>
                </c:pt>
                <c:pt idx="15">
                  <c:v>1.6657026972646169</c:v>
                </c:pt>
                <c:pt idx="16">
                  <c:v>1.72401434554519</c:v>
                </c:pt>
                <c:pt idx="17">
                  <c:v>1.7735020226986353</c:v>
                </c:pt>
                <c:pt idx="18">
                  <c:v>1.8850320220016954</c:v>
                </c:pt>
                <c:pt idx="19">
                  <c:v>1.8957826118630736</c:v>
                </c:pt>
                <c:pt idx="20">
                  <c:v>2.0034599411327561</c:v>
                </c:pt>
                <c:pt idx="21">
                  <c:v>2.2345316723735218</c:v>
                </c:pt>
                <c:pt idx="22">
                  <c:v>2.2359797897327645</c:v>
                </c:pt>
                <c:pt idx="23">
                  <c:v>2.6231064436735849</c:v>
                </c:pt>
                <c:pt idx="24">
                  <c:v>2.6785350127838461</c:v>
                </c:pt>
                <c:pt idx="25">
                  <c:v>2.6809433447142426</c:v>
                </c:pt>
                <c:pt idx="26">
                  <c:v>3.0214178176496218</c:v>
                </c:pt>
                <c:pt idx="27">
                  <c:v>3.0770338188674491</c:v>
                </c:pt>
                <c:pt idx="28">
                  <c:v>3.7666895969175127</c:v>
                </c:pt>
                <c:pt idx="29">
                  <c:v>3.9819500509448171</c:v>
                </c:pt>
                <c:pt idx="30">
                  <c:v>4.5469116659987687</c:v>
                </c:pt>
                <c:pt idx="31">
                  <c:v>4.9032420224881452</c:v>
                </c:pt>
                <c:pt idx="32">
                  <c:v>5.0453646864749508</c:v>
                </c:pt>
                <c:pt idx="33">
                  <c:v>5.154905288650987</c:v>
                </c:pt>
                <c:pt idx="34">
                  <c:v>5.408353073811563</c:v>
                </c:pt>
                <c:pt idx="35">
                  <c:v>5.6648585615667919</c:v>
                </c:pt>
                <c:pt idx="36">
                  <c:v>6.0526881112960602</c:v>
                </c:pt>
                <c:pt idx="37">
                  <c:v>6.0623627952754546</c:v>
                </c:pt>
                <c:pt idx="38">
                  <c:v>6.3298791757150115</c:v>
                </c:pt>
                <c:pt idx="39">
                  <c:v>6.3301131825501749</c:v>
                </c:pt>
                <c:pt idx="40">
                  <c:v>6.5196411657785642</c:v>
                </c:pt>
                <c:pt idx="41">
                  <c:v>6.5385293353880218</c:v>
                </c:pt>
                <c:pt idx="42">
                  <c:v>6.6780438219414266</c:v>
                </c:pt>
                <c:pt idx="43">
                  <c:v>6.8232928038368632</c:v>
                </c:pt>
                <c:pt idx="44">
                  <c:v>6.8827228840656973</c:v>
                </c:pt>
                <c:pt idx="45">
                  <c:v>6.9941799281985251</c:v>
                </c:pt>
                <c:pt idx="46">
                  <c:v>7.0094627058965058</c:v>
                </c:pt>
                <c:pt idx="47">
                  <c:v>7.3666796900735303</c:v>
                </c:pt>
                <c:pt idx="48">
                  <c:v>7.8664433508505711</c:v>
                </c:pt>
                <c:pt idx="49">
                  <c:v>8.0284894017907167</c:v>
                </c:pt>
                <c:pt idx="50">
                  <c:v>8.0451490313237208</c:v>
                </c:pt>
                <c:pt idx="51">
                  <c:v>8.4563881945228196</c:v>
                </c:pt>
                <c:pt idx="52">
                  <c:v>8.5999374473594852</c:v>
                </c:pt>
                <c:pt idx="53">
                  <c:v>9.058449261180316</c:v>
                </c:pt>
                <c:pt idx="54">
                  <c:v>9.4233334125514787</c:v>
                </c:pt>
                <c:pt idx="55">
                  <c:v>10.810277700421596</c:v>
                </c:pt>
                <c:pt idx="56">
                  <c:v>10.859495391314089</c:v>
                </c:pt>
                <c:pt idx="57">
                  <c:v>10.86580831318318</c:v>
                </c:pt>
                <c:pt idx="58">
                  <c:v>11.003571141891484</c:v>
                </c:pt>
                <c:pt idx="59">
                  <c:v>11.170898139527413</c:v>
                </c:pt>
                <c:pt idx="60">
                  <c:v>11.223698400411086</c:v>
                </c:pt>
                <c:pt idx="61">
                  <c:v>11.232099961635724</c:v>
                </c:pt>
                <c:pt idx="62">
                  <c:v>11.252179871809417</c:v>
                </c:pt>
                <c:pt idx="63">
                  <c:v>11.269336129968526</c:v>
                </c:pt>
                <c:pt idx="64">
                  <c:v>11.303408950771255</c:v>
                </c:pt>
                <c:pt idx="65">
                  <c:v>11.441153182781029</c:v>
                </c:pt>
                <c:pt idx="66">
                  <c:v>11.462321546898096</c:v>
                </c:pt>
                <c:pt idx="67">
                  <c:v>11.462332810945878</c:v>
                </c:pt>
                <c:pt idx="68">
                  <c:v>11.487842415788466</c:v>
                </c:pt>
                <c:pt idx="69">
                  <c:v>11.630271244613223</c:v>
                </c:pt>
                <c:pt idx="70">
                  <c:v>11.693849947411628</c:v>
                </c:pt>
                <c:pt idx="71">
                  <c:v>11.766366373383427</c:v>
                </c:pt>
                <c:pt idx="72">
                  <c:v>11.824562591088151</c:v>
                </c:pt>
                <c:pt idx="73">
                  <c:v>11.960799378255555</c:v>
                </c:pt>
                <c:pt idx="74">
                  <c:v>12.021652336608035</c:v>
                </c:pt>
                <c:pt idx="75">
                  <c:v>12.39314191041627</c:v>
                </c:pt>
                <c:pt idx="76">
                  <c:v>12.912503702619032</c:v>
                </c:pt>
                <c:pt idx="77">
                  <c:v>13.01388949792244</c:v>
                </c:pt>
                <c:pt idx="78">
                  <c:v>13.951169656448213</c:v>
                </c:pt>
                <c:pt idx="79">
                  <c:v>14.967634874281726</c:v>
                </c:pt>
                <c:pt idx="80">
                  <c:v>15.021212136386572</c:v>
                </c:pt>
                <c:pt idx="81">
                  <c:v>16.152806707052129</c:v>
                </c:pt>
                <c:pt idx="82">
                  <c:v>16.656638164149282</c:v>
                </c:pt>
                <c:pt idx="83">
                  <c:v>18.904292224553938</c:v>
                </c:pt>
                <c:pt idx="84">
                  <c:v>19.130558061300469</c:v>
                </c:pt>
                <c:pt idx="85">
                  <c:v>22.639463651886633</c:v>
                </c:pt>
                <c:pt idx="86">
                  <c:v>24.391892556467965</c:v>
                </c:pt>
                <c:pt idx="87">
                  <c:v>25.30851824555894</c:v>
                </c:pt>
                <c:pt idx="88">
                  <c:v>26.427104906202789</c:v>
                </c:pt>
                <c:pt idx="89">
                  <c:v>27.162889586886486</c:v>
                </c:pt>
                <c:pt idx="90">
                  <c:v>28.191971805070853</c:v>
                </c:pt>
                <c:pt idx="91">
                  <c:v>28.325629332891609</c:v>
                </c:pt>
                <c:pt idx="92">
                  <c:v>28.621038736397303</c:v>
                </c:pt>
                <c:pt idx="93">
                  <c:v>29.734510695495572</c:v>
                </c:pt>
                <c:pt idx="94">
                  <c:v>29.740161398090979</c:v>
                </c:pt>
                <c:pt idx="95">
                  <c:v>29.934930652950253</c:v>
                </c:pt>
                <c:pt idx="96">
                  <c:v>29.977430074036718</c:v>
                </c:pt>
                <c:pt idx="97">
                  <c:v>30.065626016914369</c:v>
                </c:pt>
                <c:pt idx="98">
                  <c:v>31.856401217061759</c:v>
                </c:pt>
                <c:pt idx="99">
                  <c:v>32.292885474324834</c:v>
                </c:pt>
                <c:pt idx="100">
                  <c:v>32.438035866153264</c:v>
                </c:pt>
                <c:pt idx="101">
                  <c:v>32.804489623370607</c:v>
                </c:pt>
                <c:pt idx="102">
                  <c:v>33.217102974428286</c:v>
                </c:pt>
                <c:pt idx="103">
                  <c:v>34.184754408224194</c:v>
                </c:pt>
                <c:pt idx="104">
                  <c:v>37.867263826374177</c:v>
                </c:pt>
                <c:pt idx="105">
                  <c:v>39.226682792790321</c:v>
                </c:pt>
                <c:pt idx="106">
                  <c:v>39.423308538902923</c:v>
                </c:pt>
                <c:pt idx="107">
                  <c:v>40.004296051188781</c:v>
                </c:pt>
                <c:pt idx="108">
                  <c:v>40.707390175646083</c:v>
                </c:pt>
                <c:pt idx="109">
                  <c:v>43.601416410499802</c:v>
                </c:pt>
                <c:pt idx="110">
                  <c:v>43.636818151904194</c:v>
                </c:pt>
                <c:pt idx="111">
                  <c:v>44.983549819985711</c:v>
                </c:pt>
                <c:pt idx="112">
                  <c:v>45.577122310618719</c:v>
                </c:pt>
                <c:pt idx="113">
                  <c:v>47.18882261190754</c:v>
                </c:pt>
                <c:pt idx="114">
                  <c:v>47.518773279036274</c:v>
                </c:pt>
                <c:pt idx="115">
                  <c:v>47.949753015848323</c:v>
                </c:pt>
                <c:pt idx="116">
                  <c:v>48.686348919730847</c:v>
                </c:pt>
                <c:pt idx="117">
                  <c:v>51.347614683737454</c:v>
                </c:pt>
                <c:pt idx="118">
                  <c:v>52.110362557298266</c:v>
                </c:pt>
                <c:pt idx="119">
                  <c:v>56.845340825747876</c:v>
                </c:pt>
                <c:pt idx="120">
                  <c:v>57.260760259312697</c:v>
                </c:pt>
                <c:pt idx="121">
                  <c:v>69.315374934098855</c:v>
                </c:pt>
                <c:pt idx="122">
                  <c:v>80.044164274946709</c:v>
                </c:pt>
                <c:pt idx="123">
                  <c:v>92.328741463789058</c:v>
                </c:pt>
                <c:pt idx="124">
                  <c:v>99.493561294430577</c:v>
                </c:pt>
                <c:pt idx="125">
                  <c:v>101.50658444152997</c:v>
                </c:pt>
                <c:pt idx="126">
                  <c:v>107.47275218334288</c:v>
                </c:pt>
                <c:pt idx="127">
                  <c:v>109.01295409328802</c:v>
                </c:pt>
                <c:pt idx="128">
                  <c:v>112.22195368626384</c:v>
                </c:pt>
                <c:pt idx="129">
                  <c:v>112.5027611445126</c:v>
                </c:pt>
                <c:pt idx="130">
                  <c:v>338.39633144268845</c:v>
                </c:pt>
                <c:pt idx="131">
                  <c:v>375.52385991491388</c:v>
                </c:pt>
                <c:pt idx="132">
                  <c:v>382.2451166678087</c:v>
                </c:pt>
                <c:pt idx="133">
                  <c:v>383.60854948116742</c:v>
                </c:pt>
                <c:pt idx="134">
                  <c:v>385.11180032893662</c:v>
                </c:pt>
                <c:pt idx="135">
                  <c:v>387.12046526060993</c:v>
                </c:pt>
              </c:numCache>
            </c:numRef>
          </c:val>
          <c:smooth val="0"/>
          <c:extLst>
            <c:ext xmlns:c16="http://schemas.microsoft.com/office/drawing/2014/chart" uri="{C3380CC4-5D6E-409C-BE32-E72D297353CC}">
              <c16:uniqueId val="{00000000-66A5-4A1F-B226-A584CD731B4B}"/>
            </c:ext>
          </c:extLst>
        </c:ser>
        <c:dLbls>
          <c:showLegendKey val="0"/>
          <c:showVal val="0"/>
          <c:showCatName val="0"/>
          <c:showSerName val="0"/>
          <c:showPercent val="0"/>
          <c:showBubbleSize val="0"/>
        </c:dLbls>
        <c:marker val="1"/>
        <c:smooth val="0"/>
        <c:axId val="807661832"/>
        <c:axId val="807662160"/>
      </c:lineChart>
      <c:catAx>
        <c:axId val="80766183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7662160"/>
        <c:crosses val="autoZero"/>
        <c:auto val="1"/>
        <c:lblAlgn val="ctr"/>
        <c:lblOffset val="100"/>
        <c:noMultiLvlLbl val="0"/>
      </c:catAx>
      <c:valAx>
        <c:axId val="807662160"/>
        <c:scaling>
          <c:logBase val="10"/>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76618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scratch!$K$241</c:f>
              <c:strCache>
                <c:ptCount val="1"/>
                <c:pt idx="0">
                  <c:v>3/1</c:v>
                </c:pt>
              </c:strCache>
            </c:strRef>
          </c:tx>
          <c:spPr>
            <a:ln w="19050" cap="rnd">
              <a:solidFill>
                <a:schemeClr val="accent1"/>
              </a:solidFill>
              <a:round/>
            </a:ln>
            <a:effectLst/>
          </c:spPr>
          <c:marker>
            <c:symbol val="none"/>
          </c:marker>
          <c:xVal>
            <c:numRef>
              <c:f>scratch!$J$242:$J$269</c:f>
              <c:numCache>
                <c:formatCode>General</c:formatCode>
                <c:ptCount val="28"/>
                <c:pt idx="0">
                  <c:v>0.2</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8</c:v>
                </c:pt>
                <c:pt idx="16">
                  <c:v>9</c:v>
                </c:pt>
                <c:pt idx="17">
                  <c:v>10</c:v>
                </c:pt>
                <c:pt idx="18">
                  <c:v>11</c:v>
                </c:pt>
                <c:pt idx="19">
                  <c:v>12</c:v>
                </c:pt>
                <c:pt idx="20">
                  <c:v>13</c:v>
                </c:pt>
                <c:pt idx="21">
                  <c:v>14</c:v>
                </c:pt>
                <c:pt idx="22">
                  <c:v>15</c:v>
                </c:pt>
                <c:pt idx="23">
                  <c:v>16</c:v>
                </c:pt>
                <c:pt idx="24">
                  <c:v>17</c:v>
                </c:pt>
                <c:pt idx="25">
                  <c:v>18</c:v>
                </c:pt>
                <c:pt idx="26">
                  <c:v>19</c:v>
                </c:pt>
                <c:pt idx="27">
                  <c:v>20</c:v>
                </c:pt>
              </c:numCache>
            </c:numRef>
          </c:xVal>
          <c:yVal>
            <c:numRef>
              <c:f>scratch!$K$242:$K$269</c:f>
              <c:numCache>
                <c:formatCode>General</c:formatCode>
                <c:ptCount val="28"/>
                <c:pt idx="0">
                  <c:v>3.7170404052795647E-2</c:v>
                </c:pt>
                <c:pt idx="1">
                  <c:v>3.7868615784442665E-2</c:v>
                </c:pt>
                <c:pt idx="2">
                  <c:v>4.0335579176560471E-2</c:v>
                </c:pt>
                <c:pt idx="3">
                  <c:v>4.4356895713142996E-2</c:v>
                </c:pt>
                <c:pt idx="4">
                  <c:v>4.9804791463115526E-2</c:v>
                </c:pt>
                <c:pt idx="5">
                  <c:v>5.6514542289146735E-2</c:v>
                </c:pt>
                <c:pt idx="6">
                  <c:v>6.4296198029740792E-2</c:v>
                </c:pt>
                <c:pt idx="7">
                  <c:v>7.2946786565626115E-2</c:v>
                </c:pt>
                <c:pt idx="8">
                  <c:v>8.226170324135737E-2</c:v>
                </c:pt>
                <c:pt idx="9">
                  <c:v>9.2044333034812673E-2</c:v>
                </c:pt>
                <c:pt idx="10">
                  <c:v>0.10211337108385356</c:v>
                </c:pt>
                <c:pt idx="11">
                  <c:v>0.11230770344538166</c:v>
                </c:pt>
                <c:pt idx="12">
                  <c:v>0.12248901900503731</c:v>
                </c:pt>
                <c:pt idx="13">
                  <c:v>0.13254251884432711</c:v>
                </c:pt>
                <c:pt idx="14">
                  <c:v>0.14237617631699961</c:v>
                </c:pt>
                <c:pt idx="15">
                  <c:v>0.16111872742633823</c:v>
                </c:pt>
                <c:pt idx="16">
                  <c:v>0.17835778812351549</c:v>
                </c:pt>
                <c:pt idx="17">
                  <c:v>0.19395166027971986</c:v>
                </c:pt>
                <c:pt idx="18">
                  <c:v>0.20790135670295903</c:v>
                </c:pt>
                <c:pt idx="19">
                  <c:v>0.22029228389891442</c:v>
                </c:pt>
                <c:pt idx="20">
                  <c:v>0.23125324756166904</c:v>
                </c:pt>
                <c:pt idx="21">
                  <c:v>0.24092988544546498</c:v>
                </c:pt>
                <c:pt idx="22">
                  <c:v>0.24946868157774749</c:v>
                </c:pt>
                <c:pt idx="23">
                  <c:v>0.25700813884026208</c:v>
                </c:pt>
                <c:pt idx="24">
                  <c:v>0.26367451036490319</c:v>
                </c:pt>
                <c:pt idx="25">
                  <c:v>0.26958028230673775</c:v>
                </c:pt>
                <c:pt idx="26">
                  <c:v>0.27482422236955451</c:v>
                </c:pt>
                <c:pt idx="27">
                  <c:v>0.27949225000203853</c:v>
                </c:pt>
              </c:numCache>
            </c:numRef>
          </c:yVal>
          <c:smooth val="0"/>
          <c:extLst>
            <c:ext xmlns:c16="http://schemas.microsoft.com/office/drawing/2014/chart" uri="{C3380CC4-5D6E-409C-BE32-E72D297353CC}">
              <c16:uniqueId val="{00000000-7A0D-4973-BC6B-F91B8F1E9C8A}"/>
            </c:ext>
          </c:extLst>
        </c:ser>
        <c:ser>
          <c:idx val="1"/>
          <c:order val="1"/>
          <c:tx>
            <c:strRef>
              <c:f>scratch!$L$241</c:f>
              <c:strCache>
                <c:ptCount val="1"/>
                <c:pt idx="0">
                  <c:v>5/1</c:v>
                </c:pt>
              </c:strCache>
            </c:strRef>
          </c:tx>
          <c:spPr>
            <a:ln w="19050" cap="rnd">
              <a:solidFill>
                <a:schemeClr val="accent2"/>
              </a:solidFill>
              <a:round/>
            </a:ln>
            <a:effectLst/>
          </c:spPr>
          <c:marker>
            <c:symbol val="none"/>
          </c:marker>
          <c:xVal>
            <c:numRef>
              <c:f>scratch!$J$242:$J$269</c:f>
              <c:numCache>
                <c:formatCode>General</c:formatCode>
                <c:ptCount val="28"/>
                <c:pt idx="0">
                  <c:v>0.2</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8</c:v>
                </c:pt>
                <c:pt idx="16">
                  <c:v>9</c:v>
                </c:pt>
                <c:pt idx="17">
                  <c:v>10</c:v>
                </c:pt>
                <c:pt idx="18">
                  <c:v>11</c:v>
                </c:pt>
                <c:pt idx="19">
                  <c:v>12</c:v>
                </c:pt>
                <c:pt idx="20">
                  <c:v>13</c:v>
                </c:pt>
                <c:pt idx="21">
                  <c:v>14</c:v>
                </c:pt>
                <c:pt idx="22">
                  <c:v>15</c:v>
                </c:pt>
                <c:pt idx="23">
                  <c:v>16</c:v>
                </c:pt>
                <c:pt idx="24">
                  <c:v>17</c:v>
                </c:pt>
                <c:pt idx="25">
                  <c:v>18</c:v>
                </c:pt>
                <c:pt idx="26">
                  <c:v>19</c:v>
                </c:pt>
                <c:pt idx="27">
                  <c:v>20</c:v>
                </c:pt>
              </c:numCache>
            </c:numRef>
          </c:xVal>
          <c:yVal>
            <c:numRef>
              <c:f>scratch!$L$242:$L$269</c:f>
              <c:numCache>
                <c:formatCode>General</c:formatCode>
                <c:ptCount val="28"/>
                <c:pt idx="0">
                  <c:v>8.0311208224972137E-3</c:v>
                </c:pt>
                <c:pt idx="1">
                  <c:v>8.1943397652428553E-3</c:v>
                </c:pt>
                <c:pt idx="2">
                  <c:v>8.7750057105363093E-3</c:v>
                </c:pt>
                <c:pt idx="3">
                  <c:v>9.7350086714397925E-3</c:v>
                </c:pt>
                <c:pt idx="4">
                  <c:v>1.1062932372154517E-2</c:v>
                </c:pt>
                <c:pt idx="5">
                  <c:v>1.2743268422116667E-2</c:v>
                </c:pt>
                <c:pt idx="6">
                  <c:v>1.4756859531404685E-2</c:v>
                </c:pt>
                <c:pt idx="7">
                  <c:v>1.7081427857429294E-2</c:v>
                </c:pt>
                <c:pt idx="8">
                  <c:v>1.9692162265143205E-2</c:v>
                </c:pt>
                <c:pt idx="9">
                  <c:v>2.2562337157744937E-2</c:v>
                </c:pt>
                <c:pt idx="10">
                  <c:v>2.566393632327205E-2</c:v>
                </c:pt>
                <c:pt idx="11">
                  <c:v>2.8968257673275589E-2</c:v>
                </c:pt>
                <c:pt idx="12">
                  <c:v>3.2446478426192249E-2</c:v>
                </c:pt>
                <c:pt idx="13">
                  <c:v>3.6070164751435735E-2</c:v>
                </c:pt>
                <c:pt idx="14">
                  <c:v>3.9811714681291084E-2</c:v>
                </c:pt>
                <c:pt idx="15">
                  <c:v>4.7544299572150672E-2</c:v>
                </c:pt>
                <c:pt idx="16">
                  <c:v>5.5452232803326049E-2</c:v>
                </c:pt>
                <c:pt idx="17">
                  <c:v>6.337288431526418E-2</c:v>
                </c:pt>
                <c:pt idx="18">
                  <c:v>7.1175050440593746E-2</c:v>
                </c:pt>
                <c:pt idx="19">
                  <c:v>7.8758028905895963E-2</c:v>
                </c:pt>
                <c:pt idx="20">
                  <c:v>8.6048759831892127E-2</c:v>
                </c:pt>
                <c:pt idx="21">
                  <c:v>9.2997946081020716E-2</c:v>
                </c:pt>
                <c:pt idx="22">
                  <c:v>9.9575846704038046E-2</c:v>
                </c:pt>
                <c:pt idx="23">
                  <c:v>0.10576820870198199</c:v>
                </c:pt>
                <c:pt idx="24">
                  <c:v>0.11157260724267838</c:v>
                </c:pt>
                <c:pt idx="25">
                  <c:v>0.11699531837184464</c:v>
                </c:pt>
                <c:pt idx="26">
                  <c:v>0.12204875020820004</c:v>
                </c:pt>
                <c:pt idx="27">
                  <c:v>0.12674939996649656</c:v>
                </c:pt>
              </c:numCache>
            </c:numRef>
          </c:yVal>
          <c:smooth val="0"/>
          <c:extLst>
            <c:ext xmlns:c16="http://schemas.microsoft.com/office/drawing/2014/chart" uri="{C3380CC4-5D6E-409C-BE32-E72D297353CC}">
              <c16:uniqueId val="{00000001-7A0D-4973-BC6B-F91B8F1E9C8A}"/>
            </c:ext>
          </c:extLst>
        </c:ser>
        <c:dLbls>
          <c:showLegendKey val="0"/>
          <c:showVal val="0"/>
          <c:showCatName val="0"/>
          <c:showSerName val="0"/>
          <c:showPercent val="0"/>
          <c:showBubbleSize val="0"/>
        </c:dLbls>
        <c:axId val="549666784"/>
        <c:axId val="549667112"/>
      </c:scatterChart>
      <c:valAx>
        <c:axId val="54966678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 bar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9667112"/>
        <c:crosses val="autoZero"/>
        <c:crossBetween val="midCat"/>
      </c:valAx>
      <c:valAx>
        <c:axId val="5496671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 bar v' phi'   ratio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966678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85193607894172"/>
          <c:y val="2.4349477682811017E-2"/>
          <c:w val="0.8461640430144366"/>
          <c:h val="0.86113960113960109"/>
        </c:manualLayout>
      </c:layout>
      <c:scatterChart>
        <c:scatterStyle val="lineMarker"/>
        <c:varyColors val="0"/>
        <c:ser>
          <c:idx val="0"/>
          <c:order val="0"/>
          <c:tx>
            <c:v>CF, Ormen Lange</c:v>
          </c:tx>
          <c:spPr>
            <a:ln w="28575" cap="rnd">
              <a:noFill/>
              <a:round/>
            </a:ln>
            <a:effectLst/>
          </c:spPr>
          <c:marker>
            <c:symbol val="x"/>
            <c:size val="7"/>
            <c:spPr>
              <a:noFill/>
              <a:ln w="15875">
                <a:solidFill>
                  <a:schemeClr val="tx1"/>
                </a:solidFill>
              </a:ln>
              <a:effectLst/>
            </c:spPr>
          </c:marker>
          <c:xVal>
            <c:numRef>
              <c:f>m!$AF$136:$AO$136</c:f>
              <c:numCache>
                <c:formatCode>General</c:formatCode>
                <c:ptCount val="10"/>
                <c:pt idx="6">
                  <c:v>1.6143948063818636</c:v>
                </c:pt>
                <c:pt idx="7">
                  <c:v>1.9401411172244991</c:v>
                </c:pt>
                <c:pt idx="8">
                  <c:v>2.3020971953720357</c:v>
                </c:pt>
                <c:pt idx="9">
                  <c:v>2.7961447987028745</c:v>
                </c:pt>
              </c:numCache>
            </c:numRef>
          </c:xVal>
          <c:yVal>
            <c:numRef>
              <c:f>m!$AF$144:$AO$144</c:f>
              <c:numCache>
                <c:formatCode>General</c:formatCode>
                <c:ptCount val="10"/>
                <c:pt idx="6">
                  <c:v>3.3312430589616485E-6</c:v>
                </c:pt>
                <c:pt idx="7">
                  <c:v>7.3378853424849925E-6</c:v>
                </c:pt>
                <c:pt idx="8">
                  <c:v>7.8223319203516646E-6</c:v>
                </c:pt>
                <c:pt idx="9">
                  <c:v>6.8921883590877108E-6</c:v>
                </c:pt>
              </c:numCache>
            </c:numRef>
          </c:yVal>
          <c:smooth val="0"/>
          <c:extLst xmlns:c15="http://schemas.microsoft.com/office/drawing/2012/chart">
            <c:ext xmlns:c16="http://schemas.microsoft.com/office/drawing/2014/chart" uri="{C3380CC4-5D6E-409C-BE32-E72D297353CC}">
              <c16:uniqueId val="{00000000-7153-460E-B6C6-235DD5436A87}"/>
            </c:ext>
          </c:extLst>
        </c:ser>
        <c:ser>
          <c:idx val="4"/>
          <c:order val="1"/>
          <c:tx>
            <c:v>CF, ExxonMobil</c:v>
          </c:tx>
          <c:spPr>
            <a:ln w="25400" cap="rnd">
              <a:noFill/>
              <a:round/>
            </a:ln>
            <a:effectLst/>
          </c:spPr>
          <c:marker>
            <c:symbol val="x"/>
            <c:size val="7"/>
            <c:spPr>
              <a:noFill/>
              <a:ln w="15875">
                <a:solidFill>
                  <a:schemeClr val="accent3"/>
                </a:solidFill>
              </a:ln>
              <a:effectLst/>
            </c:spPr>
          </c:marker>
          <c:xVal>
            <c:numRef>
              <c:f>m!$AP$136:$BL$136</c:f>
              <c:numCache>
                <c:formatCode>General</c:formatCode>
                <c:ptCount val="23"/>
                <c:pt idx="0">
                  <c:v>0.87758664404220332</c:v>
                </c:pt>
                <c:pt idx="1">
                  <c:v>1.3074036031223182</c:v>
                </c:pt>
                <c:pt idx="2">
                  <c:v>2.5715201139747297</c:v>
                </c:pt>
                <c:pt idx="3">
                  <c:v>3.954965066154386</c:v>
                </c:pt>
                <c:pt idx="4">
                  <c:v>5.5317355430904875</c:v>
                </c:pt>
                <c:pt idx="19">
                  <c:v>0.85445300673745028</c:v>
                </c:pt>
                <c:pt idx="20">
                  <c:v>1.762675703425572</c:v>
                </c:pt>
                <c:pt idx="21">
                  <c:v>1.3296823406377316</c:v>
                </c:pt>
              </c:numCache>
            </c:numRef>
          </c:xVal>
          <c:yVal>
            <c:numRef>
              <c:f>m!$AP$144:$BL$144</c:f>
              <c:numCache>
                <c:formatCode>General</c:formatCode>
                <c:ptCount val="23"/>
                <c:pt idx="0">
                  <c:v>1.0263611254753252E-8</c:v>
                </c:pt>
                <c:pt idx="1">
                  <c:v>5.4112472106500152E-8</c:v>
                </c:pt>
                <c:pt idx="2">
                  <c:v>3.3451213963983326E-6</c:v>
                </c:pt>
                <c:pt idx="3">
                  <c:v>4.3594060864600906E-5</c:v>
                </c:pt>
                <c:pt idx="4">
                  <c:v>3.1777763177394993E-4</c:v>
                </c:pt>
                <c:pt idx="19">
                  <c:v>2.8557320014565028E-8</c:v>
                </c:pt>
                <c:pt idx="20">
                  <c:v>1.0745204086109024E-6</c:v>
                </c:pt>
                <c:pt idx="21">
                  <c:v>8.0998261714627658E-8</c:v>
                </c:pt>
              </c:numCache>
            </c:numRef>
          </c:yVal>
          <c:smooth val="0"/>
          <c:extLst xmlns:c15="http://schemas.microsoft.com/office/drawing/2012/chart">
            <c:ext xmlns:c16="http://schemas.microsoft.com/office/drawing/2014/chart" uri="{C3380CC4-5D6E-409C-BE32-E72D297353CC}">
              <c16:uniqueId val="{00000001-7153-460E-B6C6-235DD5436A87}"/>
            </c:ext>
          </c:extLst>
        </c:ser>
        <c:ser>
          <c:idx val="11"/>
          <c:order val="2"/>
          <c:tx>
            <c:v>CF, Pipe 1</c:v>
          </c:tx>
          <c:spPr>
            <a:ln w="25400" cap="rnd">
              <a:noFill/>
              <a:round/>
            </a:ln>
            <a:effectLst/>
          </c:spPr>
          <c:marker>
            <c:symbol val="x"/>
            <c:size val="7"/>
            <c:spPr>
              <a:noFill/>
              <a:ln w="15875">
                <a:solidFill>
                  <a:schemeClr val="accent6"/>
                </a:solidFill>
              </a:ln>
              <a:effectLst/>
            </c:spPr>
          </c:marker>
          <c:xVal>
            <c:numRef>
              <c:f>m!$BM$136:$CO$136</c:f>
              <c:numCache>
                <c:formatCode>General</c:formatCode>
                <c:ptCount val="29"/>
              </c:numCache>
            </c:numRef>
          </c:xVal>
          <c:yVal>
            <c:numRef>
              <c:f>m!$BM$144:$CO$144</c:f>
              <c:numCache>
                <c:formatCode>General</c:formatCode>
                <c:ptCount val="29"/>
              </c:numCache>
            </c:numRef>
          </c:yVal>
          <c:smooth val="0"/>
          <c:extLst xmlns:c15="http://schemas.microsoft.com/office/drawing/2012/chart">
            <c:ext xmlns:c16="http://schemas.microsoft.com/office/drawing/2014/chart" uri="{C3380CC4-5D6E-409C-BE32-E72D297353CC}">
              <c16:uniqueId val="{00000002-7153-460E-B6C6-235DD5436A87}"/>
            </c:ext>
          </c:extLst>
        </c:ser>
        <c:ser>
          <c:idx val="13"/>
          <c:order val="3"/>
          <c:tx>
            <c:v>CF, Pipe 2</c:v>
          </c:tx>
          <c:spPr>
            <a:ln w="25400" cap="rnd">
              <a:noFill/>
              <a:round/>
            </a:ln>
            <a:effectLst/>
          </c:spPr>
          <c:marker>
            <c:symbol val="x"/>
            <c:size val="7"/>
            <c:spPr>
              <a:noFill/>
              <a:ln w="15875">
                <a:solidFill>
                  <a:srgbClr val="00B0F0"/>
                </a:solidFill>
              </a:ln>
              <a:effectLst/>
            </c:spPr>
          </c:marker>
          <c:xVal>
            <c:numRef>
              <c:f>m!$CP$136:$DT$136</c:f>
              <c:numCache>
                <c:formatCode>General</c:formatCode>
                <c:ptCount val="31"/>
                <c:pt idx="23">
                  <c:v>5.4616805280644583</c:v>
                </c:pt>
                <c:pt idx="24">
                  <c:v>9.3881308400269585</c:v>
                </c:pt>
                <c:pt idx="25">
                  <c:v>6.6301156322246957</c:v>
                </c:pt>
                <c:pt idx="27">
                  <c:v>8.9302718911312038</c:v>
                </c:pt>
              </c:numCache>
            </c:numRef>
          </c:xVal>
          <c:yVal>
            <c:numRef>
              <c:f>m!$CP$144:$DT$144</c:f>
              <c:numCache>
                <c:formatCode>General</c:formatCode>
                <c:ptCount val="31"/>
                <c:pt idx="23">
                  <c:v>1.8387319102188966E-4</c:v>
                </c:pt>
                <c:pt idx="24">
                  <c:v>3.270827675143897E-3</c:v>
                </c:pt>
                <c:pt idx="25">
                  <c:v>1.3182300064528095E-3</c:v>
                </c:pt>
                <c:pt idx="27">
                  <c:v>1.4887269718444939E-3</c:v>
                </c:pt>
              </c:numCache>
            </c:numRef>
          </c:yVal>
          <c:smooth val="0"/>
          <c:extLst xmlns:c15="http://schemas.microsoft.com/office/drawing/2012/chart">
            <c:ext xmlns:c16="http://schemas.microsoft.com/office/drawing/2014/chart" uri="{C3380CC4-5D6E-409C-BE32-E72D297353CC}">
              <c16:uniqueId val="{00000003-7153-460E-B6C6-235DD5436A87}"/>
            </c:ext>
          </c:extLst>
        </c:ser>
        <c:ser>
          <c:idx val="5"/>
          <c:order val="4"/>
          <c:tx>
            <c:v>CF, Pipe 3 Smooth</c:v>
          </c:tx>
          <c:spPr>
            <a:ln w="25400" cap="rnd">
              <a:noFill/>
              <a:round/>
            </a:ln>
            <a:effectLst/>
          </c:spPr>
          <c:marker>
            <c:symbol val="x"/>
            <c:size val="7"/>
            <c:spPr>
              <a:noFill/>
              <a:ln w="15875">
                <a:solidFill>
                  <a:schemeClr val="accent2"/>
                </a:solidFill>
              </a:ln>
              <a:effectLst/>
            </c:spPr>
          </c:marker>
          <c:xVal>
            <c:numRef>
              <c:f>m!$DU$136:$DX$136</c:f>
              <c:numCache>
                <c:formatCode>General</c:formatCode>
                <c:ptCount val="4"/>
                <c:pt idx="1">
                  <c:v>3.7649826229949488</c:v>
                </c:pt>
              </c:numCache>
            </c:numRef>
          </c:xVal>
          <c:yVal>
            <c:numRef>
              <c:f>m!$DU$144:$DX$144</c:f>
              <c:numCache>
                <c:formatCode>General</c:formatCode>
                <c:ptCount val="4"/>
                <c:pt idx="1">
                  <c:v>1.6569673554887655E-3</c:v>
                </c:pt>
              </c:numCache>
            </c:numRef>
          </c:yVal>
          <c:smooth val="0"/>
          <c:extLst xmlns:c15="http://schemas.microsoft.com/office/drawing/2012/chart">
            <c:ext xmlns:c16="http://schemas.microsoft.com/office/drawing/2014/chart" uri="{C3380CC4-5D6E-409C-BE32-E72D297353CC}">
              <c16:uniqueId val="{00000004-7153-460E-B6C6-235DD5436A87}"/>
            </c:ext>
          </c:extLst>
        </c:ser>
        <c:ser>
          <c:idx val="9"/>
          <c:order val="5"/>
          <c:tx>
            <c:v>CF, Pipe 3 Rough</c:v>
          </c:tx>
          <c:spPr>
            <a:ln w="25400" cap="rnd">
              <a:noFill/>
              <a:round/>
            </a:ln>
            <a:effectLst/>
          </c:spPr>
          <c:marker>
            <c:symbol val="x"/>
            <c:size val="7"/>
            <c:spPr>
              <a:noFill/>
              <a:ln w="38100">
                <a:solidFill>
                  <a:schemeClr val="accent4"/>
                </a:solidFill>
              </a:ln>
              <a:effectLst/>
            </c:spPr>
          </c:marker>
          <c:xVal>
            <c:numRef>
              <c:f>m!$DY$136:$EL$136</c:f>
              <c:numCache>
                <c:formatCode>General</c:formatCode>
                <c:ptCount val="14"/>
                <c:pt idx="0">
                  <c:v>0.95944318952665708</c:v>
                </c:pt>
                <c:pt idx="1">
                  <c:v>4.0478778131308895</c:v>
                </c:pt>
                <c:pt idx="2">
                  <c:v>7.094716690461337</c:v>
                </c:pt>
                <c:pt idx="3">
                  <c:v>9.8213071433888182</c:v>
                </c:pt>
              </c:numCache>
            </c:numRef>
          </c:xVal>
          <c:yVal>
            <c:numRef>
              <c:f>m!$DY$144:$EL$144</c:f>
              <c:numCache>
                <c:formatCode>General</c:formatCode>
                <c:ptCount val="14"/>
                <c:pt idx="0">
                  <c:v>3.3957590883779812E-6</c:v>
                </c:pt>
                <c:pt idx="1">
                  <c:v>1.1197104351254271E-3</c:v>
                </c:pt>
                <c:pt idx="2">
                  <c:v>8.646384171384195E-3</c:v>
                </c:pt>
                <c:pt idx="3">
                  <c:v>5.0198044903397777E-2</c:v>
                </c:pt>
              </c:numCache>
            </c:numRef>
          </c:yVal>
          <c:smooth val="0"/>
          <c:extLst xmlns:c15="http://schemas.microsoft.com/office/drawing/2012/chart">
            <c:ext xmlns:c16="http://schemas.microsoft.com/office/drawing/2014/chart" uri="{C3380CC4-5D6E-409C-BE32-E72D297353CC}">
              <c16:uniqueId val="{00000005-7153-460E-B6C6-235DD5436A87}"/>
            </c:ext>
          </c:extLst>
        </c:ser>
        <c:ser>
          <c:idx val="12"/>
          <c:order val="6"/>
          <c:tx>
            <c:v>IL, Pipe 1</c:v>
          </c:tx>
          <c:spPr>
            <a:ln w="25400" cap="rnd">
              <a:noFill/>
              <a:round/>
            </a:ln>
            <a:effectLst/>
          </c:spPr>
          <c:marker>
            <c:symbol val="circle"/>
            <c:size val="8"/>
            <c:spPr>
              <a:noFill/>
              <a:ln w="15875">
                <a:solidFill>
                  <a:schemeClr val="accent6"/>
                </a:solidFill>
              </a:ln>
              <a:effectLst/>
            </c:spPr>
          </c:marker>
          <c:xVal>
            <c:numRef>
              <c:f>m!$BM$136:$CO$136</c:f>
              <c:numCache>
                <c:formatCode>General</c:formatCode>
                <c:ptCount val="29"/>
              </c:numCache>
            </c:numRef>
          </c:xVal>
          <c:yVal>
            <c:numRef>
              <c:f>m!$BM$145:$CO$145</c:f>
              <c:numCache>
                <c:formatCode>General</c:formatCode>
                <c:ptCount val="29"/>
              </c:numCache>
            </c:numRef>
          </c:yVal>
          <c:smooth val="0"/>
          <c:extLst>
            <c:ext xmlns:c16="http://schemas.microsoft.com/office/drawing/2014/chart" uri="{C3380CC4-5D6E-409C-BE32-E72D297353CC}">
              <c16:uniqueId val="{00000008-7153-460E-B6C6-235DD5436A87}"/>
            </c:ext>
          </c:extLst>
        </c:ser>
        <c:ser>
          <c:idx val="8"/>
          <c:order val="7"/>
          <c:tx>
            <c:v>IL, Pipe 3 Smooth</c:v>
          </c:tx>
          <c:spPr>
            <a:ln w="25400" cap="rnd">
              <a:noFill/>
              <a:round/>
            </a:ln>
            <a:effectLst/>
          </c:spPr>
          <c:marker>
            <c:symbol val="circle"/>
            <c:size val="7"/>
            <c:spPr>
              <a:noFill/>
              <a:ln w="15875">
                <a:solidFill>
                  <a:schemeClr val="accent2"/>
                </a:solidFill>
              </a:ln>
              <a:effectLst/>
            </c:spPr>
          </c:marker>
          <c:xVal>
            <c:numRef>
              <c:f>m!$DU$136:$DX$136</c:f>
              <c:numCache>
                <c:formatCode>General</c:formatCode>
                <c:ptCount val="4"/>
                <c:pt idx="1">
                  <c:v>3.7649826229949488</c:v>
                </c:pt>
              </c:numCache>
            </c:numRef>
          </c:xVal>
          <c:yVal>
            <c:numRef>
              <c:f>m!$DU$145:$DX$145</c:f>
              <c:numCache>
                <c:formatCode>General</c:formatCode>
                <c:ptCount val="4"/>
                <c:pt idx="1">
                  <c:v>5.3255910832457776E-4</c:v>
                </c:pt>
              </c:numCache>
            </c:numRef>
          </c:yVal>
          <c:smooth val="0"/>
          <c:extLst>
            <c:ext xmlns:c16="http://schemas.microsoft.com/office/drawing/2014/chart" uri="{C3380CC4-5D6E-409C-BE32-E72D297353CC}">
              <c16:uniqueId val="{0000000A-7153-460E-B6C6-235DD5436A87}"/>
            </c:ext>
          </c:extLst>
        </c:ser>
        <c:ser>
          <c:idx val="10"/>
          <c:order val="8"/>
          <c:tx>
            <c:v>IL, Pipe 3 Rough</c:v>
          </c:tx>
          <c:spPr>
            <a:ln w="25400" cap="rnd">
              <a:noFill/>
              <a:round/>
            </a:ln>
            <a:effectLst/>
          </c:spPr>
          <c:marker>
            <c:symbol val="circle"/>
            <c:size val="5"/>
            <c:spPr>
              <a:noFill/>
              <a:ln w="19050">
                <a:solidFill>
                  <a:schemeClr val="accent4"/>
                </a:solidFill>
              </a:ln>
              <a:effectLst/>
            </c:spPr>
          </c:marker>
          <c:xVal>
            <c:numRef>
              <c:f>m!$DY$136:$EL$136</c:f>
              <c:numCache>
                <c:formatCode>General</c:formatCode>
                <c:ptCount val="14"/>
                <c:pt idx="0">
                  <c:v>0.95944318952665708</c:v>
                </c:pt>
                <c:pt idx="1">
                  <c:v>4.0478778131308895</c:v>
                </c:pt>
                <c:pt idx="2">
                  <c:v>7.094716690461337</c:v>
                </c:pt>
                <c:pt idx="3">
                  <c:v>9.8213071433888182</c:v>
                </c:pt>
              </c:numCache>
            </c:numRef>
          </c:xVal>
          <c:yVal>
            <c:numRef>
              <c:f>m!$DY$145:$EL$145</c:f>
              <c:numCache>
                <c:formatCode>General</c:formatCode>
                <c:ptCount val="14"/>
                <c:pt idx="0">
                  <c:v>8.1056258945619145E-7</c:v>
                </c:pt>
                <c:pt idx="1">
                  <c:v>6.0351498342746932E-4</c:v>
                </c:pt>
                <c:pt idx="2">
                  <c:v>5.1639657195250328E-3</c:v>
                </c:pt>
                <c:pt idx="3">
                  <c:v>3.9461668995730122E-2</c:v>
                </c:pt>
              </c:numCache>
            </c:numRef>
          </c:yVal>
          <c:smooth val="0"/>
          <c:extLst>
            <c:ext xmlns:c16="http://schemas.microsoft.com/office/drawing/2014/chart" uri="{C3380CC4-5D6E-409C-BE32-E72D297353CC}">
              <c16:uniqueId val="{0000000B-7153-460E-B6C6-235DD5436A87}"/>
            </c:ext>
          </c:extLst>
        </c:ser>
        <c:ser>
          <c:idx val="1"/>
          <c:order val="9"/>
          <c:tx>
            <c:v>F105 CF</c:v>
          </c:tx>
          <c:spPr>
            <a:ln w="19050" cap="rnd">
              <a:solidFill>
                <a:schemeClr val="bg1">
                  <a:lumMod val="65000"/>
                </a:schemeClr>
              </a:solidFill>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'c'!$J$277:$J$387</c:f>
              <c:numCache>
                <c:formatCode>General</c:formatCode>
                <c:ptCount val="111"/>
                <c:pt idx="1">
                  <c:v>1.1934142024121279E-10</c:v>
                </c:pt>
                <c:pt idx="2">
                  <c:v>5.8601647120351191E-10</c:v>
                </c:pt>
                <c:pt idx="3">
                  <c:v>1.3192456613036392E-9</c:v>
                </c:pt>
                <c:pt idx="4">
                  <c:v>2.271259252542075E-9</c:v>
                </c:pt>
                <c:pt idx="5">
                  <c:v>3.4183821335086984E-9</c:v>
                </c:pt>
                <c:pt idx="6">
                  <c:v>4.7486827086819816E-9</c:v>
                </c:pt>
                <c:pt idx="7">
                  <c:v>6.257152762444087E-9</c:v>
                </c:pt>
                <c:pt idx="8">
                  <c:v>7.9435562419740368E-9</c:v>
                </c:pt>
                <c:pt idx="9">
                  <c:v>9.8114222247120654E-9</c:v>
                </c:pt>
                <c:pt idx="10">
                  <c:v>1.1374507408180703E-8</c:v>
                </c:pt>
                <c:pt idx="11">
                  <c:v>1.1673474465614144E-8</c:v>
                </c:pt>
                <c:pt idx="12">
                  <c:v>2.0264645424790136E-8</c:v>
                </c:pt>
                <c:pt idx="13">
                  <c:v>2.4739861677586068E-8</c:v>
                </c:pt>
                <c:pt idx="14">
                  <c:v>2.8987397332260139E-8</c:v>
                </c:pt>
                <c:pt idx="15">
                  <c:v>3.5298224045996233E-8</c:v>
                </c:pt>
                <c:pt idx="16">
                  <c:v>4.8911174865287834E-8</c:v>
                </c:pt>
                <c:pt idx="17">
                  <c:v>6.1007977288460242E-8</c:v>
                </c:pt>
                <c:pt idx="18">
                  <c:v>7.4421787666386599E-8</c:v>
                </c:pt>
                <c:pt idx="19">
                  <c:v>6.4463953108606614E-7</c:v>
                </c:pt>
                <c:pt idx="20">
                  <c:v>7.8761767740424494E-7</c:v>
                </c:pt>
                <c:pt idx="21">
                  <c:v>2.2582933496242946E-6</c:v>
                </c:pt>
                <c:pt idx="22">
                  <c:v>2.9142366444659832E-6</c:v>
                </c:pt>
                <c:pt idx="23">
                  <c:v>3.7911356050073115E-6</c:v>
                </c:pt>
                <c:pt idx="24">
                  <c:v>6.1292229585230439E-6</c:v>
                </c:pt>
                <c:pt idx="25">
                  <c:v>8.9967233568530302E-6</c:v>
                </c:pt>
                <c:pt idx="26">
                  <c:v>1.233609164877394E-5</c:v>
                </c:pt>
                <c:pt idx="27">
                  <c:v>1.613561262893877E-5</c:v>
                </c:pt>
                <c:pt idx="28">
                  <c:v>2.0389032359386123E-5</c:v>
                </c:pt>
                <c:pt idx="29">
                  <c:v>2.7896522120382277E-5</c:v>
                </c:pt>
                <c:pt idx="30">
                  <c:v>3.4147753108393163E-5</c:v>
                </c:pt>
                <c:pt idx="31">
                  <c:v>4.1029949611978959E-5</c:v>
                </c:pt>
                <c:pt idx="32">
                  <c:v>4.8544273969271533E-5</c:v>
                </c:pt>
                <c:pt idx="33">
                  <c:v>5.6692727932485921E-5</c:v>
                </c:pt>
                <c:pt idx="34">
                  <c:v>6.5477982696394578E-5</c:v>
                </c:pt>
                <c:pt idx="35">
                  <c:v>7.4903260556928055E-5</c:v>
                </c:pt>
                <c:pt idx="36">
                  <c:v>8.4972256616025723E-5</c:v>
                </c:pt>
                <c:pt idx="37">
                  <c:v>9.6991935895223658E-5</c:v>
                </c:pt>
                <c:pt idx="38">
                  <c:v>1.1021353296924801E-4</c:v>
                </c:pt>
                <c:pt idx="39">
                  <c:v>1.244148965147945E-4</c:v>
                </c:pt>
                <c:pt idx="40">
                  <c:v>1.3960614408876169E-4</c:v>
                </c:pt>
                <c:pt idx="41">
                  <c:v>1.5579733824399569E-4</c:v>
                </c:pt>
                <c:pt idx="42">
                  <c:v>1.7299851051530958E-4</c:v>
                </c:pt>
                <c:pt idx="43">
                  <c:v>1.91219695776541E-4</c:v>
                </c:pt>
                <c:pt idx="44">
                  <c:v>2.0150243389988355E-4</c:v>
                </c:pt>
                <c:pt idx="45">
                  <c:v>2.0943177966555181E-4</c:v>
                </c:pt>
                <c:pt idx="46">
                  <c:v>2.1759298017943473E-4</c:v>
                </c:pt>
                <c:pt idx="47">
                  <c:v>2.2598350885008809E-4</c:v>
                </c:pt>
                <c:pt idx="48">
                  <c:v>2.3460143566237412E-4</c:v>
                </c:pt>
                <c:pt idx="49">
                  <c:v>2.4344532625639415E-4</c:v>
                </c:pt>
                <c:pt idx="50">
                  <c:v>2.5251416310686402E-4</c:v>
                </c:pt>
                <c:pt idx="51">
                  <c:v>2.6180728188418458E-4</c:v>
                </c:pt>
                <c:pt idx="52">
                  <c:v>2.7132432307696745E-4</c:v>
                </c:pt>
                <c:pt idx="53">
                  <c:v>2.8106519194730901E-4</c:v>
                </c:pt>
                <c:pt idx="54">
                  <c:v>2.9103002889264317E-4</c:v>
                </c:pt>
                <c:pt idx="55">
                  <c:v>3.0121918506770127E-4</c:v>
                </c:pt>
                <c:pt idx="56">
                  <c:v>3.1163320369643127E-4</c:v>
                </c:pt>
                <c:pt idx="57">
                  <c:v>3.2227280577636834E-4</c:v>
                </c:pt>
                <c:pt idx="58">
                  <c:v>3.3313887902520437E-4</c:v>
                </c:pt>
                <c:pt idx="59">
                  <c:v>3.442324713263655E-4</c:v>
                </c:pt>
                <c:pt idx="60">
                  <c:v>3.5555478386162432E-4</c:v>
                </c:pt>
                <c:pt idx="61">
                  <c:v>3.6710716902530827E-4</c:v>
                </c:pt>
                <c:pt idx="62">
                  <c:v>3.7889112888374104E-4</c:v>
                </c:pt>
                <c:pt idx="63">
                  <c:v>3.9090831599078636E-4</c:v>
                </c:pt>
                <c:pt idx="64">
                  <c:v>5.2710751318539584E-4</c:v>
                </c:pt>
                <c:pt idx="65">
                  <c:v>5.8122693562820697E-4</c:v>
                </c:pt>
                <c:pt idx="66">
                  <c:v>6.1196489842134697E-4</c:v>
                </c:pt>
                <c:pt idx="67">
                  <c:v>6.4366673031445278E-4</c:v>
                </c:pt>
                <c:pt idx="68">
                  <c:v>6.7690138242371622E-4</c:v>
                </c:pt>
                <c:pt idx="69">
                  <c:v>7.1220015311268764E-4</c:v>
                </c:pt>
                <c:pt idx="70">
                  <c:v>9.2373423117274658E-4</c:v>
                </c:pt>
                <c:pt idx="71">
                  <c:v>9.7197946815747404E-4</c:v>
                </c:pt>
                <c:pt idx="72">
                  <c:v>1.0215806075401339E-3</c:v>
                </c:pt>
                <c:pt idx="73">
                  <c:v>1.0725414525127788E-3</c:v>
                </c:pt>
                <c:pt idx="74">
                  <c:v>1.1248656960866387E-3</c:v>
                </c:pt>
                <c:pt idx="75">
                  <c:v>1.1785569182588514E-3</c:v>
                </c:pt>
                <c:pt idx="76">
                  <c:v>1.2336186015943873E-3</c:v>
                </c:pt>
                <c:pt idx="77">
                  <c:v>1.2900541459188893E-3</c:v>
                </c:pt>
                <c:pt idx="78">
                  <c:v>2.3417947460872075E-3</c:v>
                </c:pt>
                <c:pt idx="79">
                  <c:v>2.4039621873699871E-3</c:v>
                </c:pt>
                <c:pt idx="80">
                  <c:v>2.4670148846957095E-3</c:v>
                </c:pt>
                <c:pt idx="81">
                  <c:v>2.5309505094194963E-3</c:v>
                </c:pt>
                <c:pt idx="82">
                  <c:v>2.5957668200473033E-3</c:v>
                </c:pt>
                <c:pt idx="83">
                  <c:v>2.6614616797110205E-3</c:v>
                </c:pt>
                <c:pt idx="84">
                  <c:v>2.7280330239474833E-3</c:v>
                </c:pt>
                <c:pt idx="85">
                  <c:v>2.7954788771231342E-3</c:v>
                </c:pt>
                <c:pt idx="86">
                  <c:v>2.8637973290220782E-3</c:v>
                </c:pt>
                <c:pt idx="87">
                  <c:v>2.9329865335208033E-3</c:v>
                </c:pt>
                <c:pt idx="88">
                  <c:v>3.0080827599342792E-3</c:v>
                </c:pt>
                <c:pt idx="89">
                  <c:v>3.0855483338062431E-3</c:v>
                </c:pt>
                <c:pt idx="90">
                  <c:v>3.164205224460375E-3</c:v>
                </c:pt>
                <c:pt idx="91">
                  <c:v>3.2440521012868664E-3</c:v>
                </c:pt>
                <c:pt idx="92">
                  <c:v>3.3250877348839475E-3</c:v>
                </c:pt>
                <c:pt idx="93">
                  <c:v>3.4073109653295873E-3</c:v>
                </c:pt>
                <c:pt idx="94">
                  <c:v>3.6154853455104192E-3</c:v>
                </c:pt>
                <c:pt idx="95">
                  <c:v>3.7122375022227063E-3</c:v>
                </c:pt>
                <c:pt idx="96">
                  <c:v>3.8105401316618909E-3</c:v>
                </c:pt>
                <c:pt idx="97">
                  <c:v>3.910393669027336E-3</c:v>
                </c:pt>
                <c:pt idx="98">
                  <c:v>4.011798567237033E-3</c:v>
                </c:pt>
                <c:pt idx="99">
                  <c:v>4.1147552944635355E-3</c:v>
                </c:pt>
                <c:pt idx="100">
                  <c:v>4.219264316767112E-3</c:v>
                </c:pt>
                <c:pt idx="101">
                  <c:v>4.3253261092453766E-3</c:v>
                </c:pt>
                <c:pt idx="102">
                  <c:v>4.542109889913418E-3</c:v>
                </c:pt>
                <c:pt idx="103">
                  <c:v>4.7676271276182016E-3</c:v>
                </c:pt>
                <c:pt idx="104">
                  <c:v>5.0119615167507374E-3</c:v>
                </c:pt>
                <c:pt idx="105">
                  <c:v>5.263477972302027E-3</c:v>
                </c:pt>
                <c:pt idx="106">
                  <c:v>5.5221879927329328E-3</c:v>
                </c:pt>
                <c:pt idx="107">
                  <c:v>5.7881022964053315E-3</c:v>
                </c:pt>
                <c:pt idx="108">
                  <c:v>6.061230866799946E-3</c:v>
                </c:pt>
                <c:pt idx="109">
                  <c:v>6.3415829600034085E-3</c:v>
                </c:pt>
                <c:pt idx="110">
                  <c:v>6.6291671711631549E-3</c:v>
                </c:pt>
              </c:numCache>
            </c:numRef>
          </c:yVal>
          <c:smooth val="0"/>
          <c:extLst>
            <c:ext xmlns:c16="http://schemas.microsoft.com/office/drawing/2014/chart" uri="{C3380CC4-5D6E-409C-BE32-E72D297353CC}">
              <c16:uniqueId val="{0000000C-7153-460E-B6C6-235DD5436A87}"/>
            </c:ext>
          </c:extLst>
        </c:ser>
        <c:ser>
          <c:idx val="2"/>
          <c:order val="10"/>
          <c:tx>
            <c:v>F105 IL</c:v>
          </c:tx>
          <c:spPr>
            <a:ln w="19050" cap="rnd">
              <a:solidFill>
                <a:schemeClr val="bg1">
                  <a:lumMod val="65000"/>
                </a:schemeClr>
              </a:solidFill>
              <a:prstDash val="dash"/>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'c'!$K$277:$K$387</c:f>
              <c:numCache>
                <c:formatCode>General</c:formatCode>
                <c:ptCount val="111"/>
                <c:pt idx="1">
                  <c:v>1.1041206642935996E-10</c:v>
                </c:pt>
                <c:pt idx="2">
                  <c:v>3.9083769619238301E-10</c:v>
                </c:pt>
                <c:pt idx="3">
                  <c:v>8.3417937989991067E-10</c:v>
                </c:pt>
                <c:pt idx="4">
                  <c:v>1.386349467927615E-9</c:v>
                </c:pt>
                <c:pt idx="5">
                  <c:v>2.0221458734314633E-9</c:v>
                </c:pt>
                <c:pt idx="6">
                  <c:v>2.7280832073013042E-9</c:v>
                </c:pt>
                <c:pt idx="7">
                  <c:v>3.4900089065007571E-9</c:v>
                </c:pt>
                <c:pt idx="8">
                  <c:v>3.4526056345473889E-9</c:v>
                </c:pt>
                <c:pt idx="9">
                  <c:v>3.6845391625690188E-9</c:v>
                </c:pt>
                <c:pt idx="10">
                  <c:v>4.5596110754008729E-9</c:v>
                </c:pt>
                <c:pt idx="11">
                  <c:v>5.1354735156530644E-9</c:v>
                </c:pt>
                <c:pt idx="12">
                  <c:v>1.8798184111580765E-8</c:v>
                </c:pt>
                <c:pt idx="13">
                  <c:v>3.8278906377905918E-8</c:v>
                </c:pt>
                <c:pt idx="14">
                  <c:v>6.0608403280868133E-8</c:v>
                </c:pt>
                <c:pt idx="15">
                  <c:v>8.7897519775557316E-8</c:v>
                </c:pt>
                <c:pt idx="16">
                  <c:v>1.1936955455996198E-7</c:v>
                </c:pt>
                <c:pt idx="17">
                  <c:v>1.6248811814761335E-7</c:v>
                </c:pt>
                <c:pt idx="18">
                  <c:v>1.7758736905165257E-7</c:v>
                </c:pt>
                <c:pt idx="19">
                  <c:v>1.9509795558417127E-7</c:v>
                </c:pt>
                <c:pt idx="20">
                  <c:v>2.1743961752353268E-7</c:v>
                </c:pt>
                <c:pt idx="21">
                  <c:v>7.383804602075083E-7</c:v>
                </c:pt>
                <c:pt idx="22">
                  <c:v>1.5259033356619188E-6</c:v>
                </c:pt>
                <c:pt idx="23">
                  <c:v>2.7596790925296323E-6</c:v>
                </c:pt>
                <c:pt idx="24">
                  <c:v>3.5046103387111095E-6</c:v>
                </c:pt>
                <c:pt idx="25">
                  <c:v>4.9046144530215657E-6</c:v>
                </c:pt>
                <c:pt idx="26">
                  <c:v>6.741744082898285E-6</c:v>
                </c:pt>
                <c:pt idx="27">
                  <c:v>9.3991166552796059E-6</c:v>
                </c:pt>
                <c:pt idx="28">
                  <c:v>1.3064944908041459E-5</c:v>
                </c:pt>
                <c:pt idx="29">
                  <c:v>1.745912521949417E-5</c:v>
                </c:pt>
                <c:pt idx="30">
                  <c:v>2.2608627466074434E-5</c:v>
                </c:pt>
                <c:pt idx="31">
                  <c:v>2.853577491957245E-5</c:v>
                </c:pt>
                <c:pt idx="32">
                  <c:v>3.5654040573245164E-5</c:v>
                </c:pt>
                <c:pt idx="33">
                  <c:v>4.2317438394921847E-5</c:v>
                </c:pt>
                <c:pt idx="34">
                  <c:v>4.6953384651077838E-5</c:v>
                </c:pt>
                <c:pt idx="35">
                  <c:v>5.8673199879728151E-5</c:v>
                </c:pt>
                <c:pt idx="36">
                  <c:v>6.7127386360059407E-5</c:v>
                </c:pt>
                <c:pt idx="37">
                  <c:v>7.6703951727567958E-5</c:v>
                </c:pt>
                <c:pt idx="38">
                  <c:v>8.7451898536267092E-5</c:v>
                </c:pt>
                <c:pt idx="39">
                  <c:v>9.9420682299452756E-5</c:v>
                </c:pt>
                <c:pt idx="40">
                  <c:v>1.1265909003685684E-4</c:v>
                </c:pt>
                <c:pt idx="41">
                  <c:v>1.2721450573893828E-4</c:v>
                </c:pt>
                <c:pt idx="42">
                  <c:v>1.4313244010723451E-4</c:v>
                </c:pt>
                <c:pt idx="43">
                  <c:v>1.6045624724847374E-4</c:v>
                </c:pt>
                <c:pt idx="44">
                  <c:v>1.7922696615042686E-4</c:v>
                </c:pt>
                <c:pt idx="45">
                  <c:v>2.0530129448236679E-4</c:v>
                </c:pt>
                <c:pt idx="46">
                  <c:v>2.3396071907602964E-4</c:v>
                </c:pt>
                <c:pt idx="47">
                  <c:v>2.6515256344971012E-4</c:v>
                </c:pt>
                <c:pt idx="48">
                  <c:v>3.0044662851224122E-4</c:v>
                </c:pt>
                <c:pt idx="49">
                  <c:v>3.3768576985549424E-4</c:v>
                </c:pt>
                <c:pt idx="50">
                  <c:v>3.7087006805846563E-4</c:v>
                </c:pt>
                <c:pt idx="51">
                  <c:v>3.992028350593978E-4</c:v>
                </c:pt>
                <c:pt idx="52">
                  <c:v>4.3553846769955895E-4</c:v>
                </c:pt>
                <c:pt idx="53">
                  <c:v>4.8230525119494623E-4</c:v>
                </c:pt>
                <c:pt idx="54">
                  <c:v>5.3273493352371242E-4</c:v>
                </c:pt>
                <c:pt idx="55">
                  <c:v>5.8693300825641171E-4</c:v>
                </c:pt>
                <c:pt idx="56">
                  <c:v>6.4500130543587459E-4</c:v>
                </c:pt>
                <c:pt idx="57">
                  <c:v>7.0703788356604269E-4</c:v>
                </c:pt>
                <c:pt idx="58">
                  <c:v>7.7313697162623802E-4</c:v>
                </c:pt>
                <c:pt idx="59">
                  <c:v>8.4338896127988028E-4</c:v>
                </c:pt>
                <c:pt idx="60">
                  <c:v>9.1788041804090272E-4</c:v>
                </c:pt>
                <c:pt idx="61">
                  <c:v>9.9669413189119459E-4</c:v>
                </c:pt>
                <c:pt idx="62">
                  <c:v>9.5951220643075046E-4</c:v>
                </c:pt>
                <c:pt idx="63">
                  <c:v>1.0435583383991097E-3</c:v>
                </c:pt>
                <c:pt idx="64">
                  <c:v>1.1321790585733357E-3</c:v>
                </c:pt>
                <c:pt idx="65">
                  <c:v>1.2254453320713812E-3</c:v>
                </c:pt>
                <c:pt idx="66">
                  <c:v>1.323424504263482E-3</c:v>
                </c:pt>
                <c:pt idx="67">
                  <c:v>1.426180419450926E-3</c:v>
                </c:pt>
                <c:pt idx="68">
                  <c:v>1.5411102073802857E-3</c:v>
                </c:pt>
                <c:pt idx="69">
                  <c:v>1.6569638491960629E-3</c:v>
                </c:pt>
                <c:pt idx="70">
                  <c:v>1.778475253110303E-3</c:v>
                </c:pt>
                <c:pt idx="71">
                  <c:v>1.9662987249366892E-3</c:v>
                </c:pt>
                <c:pt idx="72">
                  <c:v>2.1164897441417357E-3</c:v>
                </c:pt>
                <c:pt idx="73">
                  <c:v>2.2750524328940189E-3</c:v>
                </c:pt>
                <c:pt idx="74">
                  <c:v>2.4362064905524214E-3</c:v>
                </c:pt>
                <c:pt idx="75">
                  <c:v>2.5958166837139742E-3</c:v>
                </c:pt>
                <c:pt idx="76">
                  <c:v>2.7223063476591899E-3</c:v>
                </c:pt>
                <c:pt idx="77">
                  <c:v>2.8555128778888022E-3</c:v>
                </c:pt>
                <c:pt idx="78">
                  <c:v>2.9955626498916299E-3</c:v>
                </c:pt>
                <c:pt idx="79">
                  <c:v>3.1425836596925601E-3</c:v>
                </c:pt>
                <c:pt idx="80">
                  <c:v>3.2967049158265974E-3</c:v>
                </c:pt>
                <c:pt idx="81">
                  <c:v>3.4580559570648009E-3</c:v>
                </c:pt>
                <c:pt idx="82">
                  <c:v>3.6267663705853827E-3</c:v>
                </c:pt>
                <c:pt idx="83">
                  <c:v>3.7998766224188142E-3</c:v>
                </c:pt>
                <c:pt idx="84">
                  <c:v>3.9855206253017724E-3</c:v>
                </c:pt>
                <c:pt idx="85">
                  <c:v>4.1781139215057456E-3</c:v>
                </c:pt>
                <c:pt idx="86">
                  <c:v>4.3777453039025626E-3</c:v>
                </c:pt>
                <c:pt idx="87">
                  <c:v>4.5845018889188087E-3</c:v>
                </c:pt>
                <c:pt idx="88">
                  <c:v>4.7984690720073893E-3</c:v>
                </c:pt>
                <c:pt idx="89">
                  <c:v>5.0197304448905211E-3</c:v>
                </c:pt>
                <c:pt idx="90">
                  <c:v>5.2483677730211752E-3</c:v>
                </c:pt>
                <c:pt idx="91">
                  <c:v>5.4844609521041013E-3</c:v>
                </c:pt>
                <c:pt idx="92">
                  <c:v>5.7280880077217036E-3</c:v>
                </c:pt>
                <c:pt idx="93">
                  <c:v>5.9793250435611822E-3</c:v>
                </c:pt>
                <c:pt idx="94">
                  <c:v>6.2382462833751881E-3</c:v>
                </c:pt>
                <c:pt idx="95">
                  <c:v>6.504924023571672E-3</c:v>
                </c:pt>
                <c:pt idx="96">
                  <c:v>6.8002865578196629E-3</c:v>
                </c:pt>
                <c:pt idx="97">
                  <c:v>7.089713486503251E-3</c:v>
                </c:pt>
                <c:pt idx="98">
                  <c:v>7.5015519075969867E-3</c:v>
                </c:pt>
                <c:pt idx="99">
                  <c:v>7.837543924558878E-3</c:v>
                </c:pt>
                <c:pt idx="100">
                  <c:v>8.1862864789423555E-3</c:v>
                </c:pt>
                <c:pt idx="101">
                  <c:v>8.5479564595675201E-3</c:v>
                </c:pt>
                <c:pt idx="102">
                  <c:v>9.3107783720253294E-3</c:v>
                </c:pt>
                <c:pt idx="103">
                  <c:v>1.0127391094476166E-2</c:v>
                </c:pt>
                <c:pt idx="104">
                  <c:v>1.0999144754034053E-2</c:v>
                </c:pt>
                <c:pt idx="105">
                  <c:v>1.1927354823782352E-2</c:v>
                </c:pt>
                <c:pt idx="106">
                  <c:v>1.2913227429327356E-2</c:v>
                </c:pt>
                <c:pt idx="107">
                  <c:v>1.3957682647327309E-2</c:v>
                </c:pt>
                <c:pt idx="108">
                  <c:v>1.5062276715064816E-2</c:v>
                </c:pt>
                <c:pt idx="109">
                  <c:v>1.6228166643484403E-2</c:v>
                </c:pt>
                <c:pt idx="110">
                  <c:v>1.7456467964896839E-2</c:v>
                </c:pt>
              </c:numCache>
            </c:numRef>
          </c:yVal>
          <c:smooth val="0"/>
          <c:extLst>
            <c:ext xmlns:c16="http://schemas.microsoft.com/office/drawing/2014/chart" uri="{C3380CC4-5D6E-409C-BE32-E72D297353CC}">
              <c16:uniqueId val="{0000000D-7153-460E-B6C6-235DD5436A87}"/>
            </c:ext>
          </c:extLst>
        </c:ser>
        <c:ser>
          <c:idx val="3"/>
          <c:order val="11"/>
          <c:tx>
            <c:v>F105 CF with arch action</c:v>
          </c:tx>
          <c:spPr>
            <a:ln w="19050" cap="rnd">
              <a:solidFill>
                <a:schemeClr val="tx1"/>
              </a:solidFill>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'c'!$L$277:$L$387</c:f>
              <c:numCache>
                <c:formatCode>General</c:formatCode>
                <c:ptCount val="111"/>
                <c:pt idx="1">
                  <c:v>3.9748473376700903E-11</c:v>
                </c:pt>
                <c:pt idx="2">
                  <c:v>3.1548983143620638E-10</c:v>
                </c:pt>
                <c:pt idx="3">
                  <c:v>8.2709284133178666E-10</c:v>
                </c:pt>
                <c:pt idx="4">
                  <c:v>1.5366183402099433E-9</c:v>
                </c:pt>
                <c:pt idx="5">
                  <c:v>2.4189173757129786E-9</c:v>
                </c:pt>
                <c:pt idx="6">
                  <c:v>3.4573548328096675E-9</c:v>
                </c:pt>
                <c:pt idx="7">
                  <c:v>4.640610085572926E-9</c:v>
                </c:pt>
                <c:pt idx="8">
                  <c:v>5.9608672817158404E-9</c:v>
                </c:pt>
                <c:pt idx="9">
                  <c:v>7.4127633828189754E-9</c:v>
                </c:pt>
                <c:pt idx="10">
                  <c:v>8.9927460003567778E-9</c:v>
                </c:pt>
                <c:pt idx="11">
                  <c:v>1.0073166827430612E-8</c:v>
                </c:pt>
                <c:pt idx="12">
                  <c:v>2.8751053476286564E-8</c:v>
                </c:pt>
                <c:pt idx="13">
                  <c:v>3.6807662354261372E-8</c:v>
                </c:pt>
                <c:pt idx="14">
                  <c:v>4.7205611261647893E-8</c:v>
                </c:pt>
                <c:pt idx="15">
                  <c:v>5.8873394548549548E-8</c:v>
                </c:pt>
                <c:pt idx="16">
                  <c:v>7.1415651564199197E-8</c:v>
                </c:pt>
                <c:pt idx="17">
                  <c:v>8.9020798085469034E-8</c:v>
                </c:pt>
                <c:pt idx="18">
                  <c:v>1.00722043576125E-7</c:v>
                </c:pt>
                <c:pt idx="19">
                  <c:v>1.1384338126775429E-7</c:v>
                </c:pt>
                <c:pt idx="20">
                  <c:v>1.315694872885549E-7</c:v>
                </c:pt>
                <c:pt idx="21">
                  <c:v>2.2708166827268179E-6</c:v>
                </c:pt>
                <c:pt idx="22">
                  <c:v>2.9262877948176267E-6</c:v>
                </c:pt>
                <c:pt idx="23">
                  <c:v>3.8055698943758381E-6</c:v>
                </c:pt>
                <c:pt idx="24">
                  <c:v>6.189740491438829E-6</c:v>
                </c:pt>
                <c:pt idx="25">
                  <c:v>9.0805005768239285E-6</c:v>
                </c:pt>
                <c:pt idx="26">
                  <c:v>1.2445336987867594E-5</c:v>
                </c:pt>
                <c:pt idx="27">
                  <c:v>1.6271654859685054E-5</c:v>
                </c:pt>
                <c:pt idx="28">
                  <c:v>2.0552930381027251E-5</c:v>
                </c:pt>
                <c:pt idx="29">
                  <c:v>2.8100851363580337E-5</c:v>
                </c:pt>
                <c:pt idx="30">
                  <c:v>3.43854463610133E-5</c:v>
                </c:pt>
                <c:pt idx="31">
                  <c:v>4.1302009275195946E-5</c:v>
                </c:pt>
                <c:pt idx="32">
                  <c:v>4.8851578846515178E-5</c:v>
                </c:pt>
                <c:pt idx="33">
                  <c:v>5.7036059614634993E-5</c:v>
                </c:pt>
                <c:pt idx="34">
                  <c:v>6.585804564631643E-5</c:v>
                </c:pt>
                <c:pt idx="35">
                  <c:v>7.5320697616824527E-5</c:v>
                </c:pt>
                <c:pt idx="36">
                  <c:v>8.5427661165195665E-5</c:v>
                </c:pt>
                <c:pt idx="37">
                  <c:v>9.748973710081314E-5</c:v>
                </c:pt>
                <c:pt idx="38">
                  <c:v>1.1075565674417104E-4</c:v>
                </c:pt>
                <c:pt idx="39">
                  <c:v>1.2500238263950028E-4</c:v>
                </c:pt>
                <c:pt idx="40">
                  <c:v>1.4023996571886177E-4</c:v>
                </c:pt>
                <c:pt idx="41">
                  <c:v>1.5647841125888631E-4</c:v>
                </c:pt>
                <c:pt idx="42">
                  <c:v>1.7372770154447674E-4</c:v>
                </c:pt>
                <c:pt idx="43">
                  <c:v>1.9199782914309236E-4</c:v>
                </c:pt>
                <c:pt idx="44">
                  <c:v>2.0229701614951089E-4</c:v>
                </c:pt>
                <c:pt idx="45">
                  <c:v>2.1022720398638652E-4</c:v>
                </c:pt>
                <c:pt idx="46">
                  <c:v>2.1838968985048781E-4</c:v>
                </c:pt>
                <c:pt idx="47">
                  <c:v>2.2678190085060582E-4</c:v>
                </c:pt>
                <c:pt idx="48">
                  <c:v>2.3540186744940432E-4</c:v>
                </c:pt>
                <c:pt idx="49">
                  <c:v>2.4424812142266188E-4</c:v>
                </c:pt>
                <c:pt idx="50">
                  <c:v>2.5331961613057078E-4</c:v>
                </c:pt>
                <c:pt idx="51">
                  <c:v>2.6261566213610886E-4</c:v>
                </c:pt>
                <c:pt idx="52">
                  <c:v>2.7213587822231877E-4</c:v>
                </c:pt>
                <c:pt idx="53">
                  <c:v>2.8188015084589684E-4</c:v>
                </c:pt>
                <c:pt idx="54">
                  <c:v>2.918486040877735E-4</c:v>
                </c:pt>
                <c:pt idx="55">
                  <c:v>3.0204157493058097E-4</c:v>
                </c:pt>
                <c:pt idx="56">
                  <c:v>3.1245959428467411E-4</c:v>
                </c:pt>
                <c:pt idx="57">
                  <c:v>3.2310337245202E-4</c:v>
                </c:pt>
                <c:pt idx="58">
                  <c:v>3.3397378787133598E-4</c:v>
                </c:pt>
                <c:pt idx="59">
                  <c:v>3.4507188039552055E-4</c:v>
                </c:pt>
                <c:pt idx="60">
                  <c:v>3.5639884427829247E-4</c:v>
                </c:pt>
                <c:pt idx="61">
                  <c:v>3.6795602596830678E-4</c:v>
                </c:pt>
                <c:pt idx="62">
                  <c:v>3.7974492246525674E-4</c:v>
                </c:pt>
                <c:pt idx="63">
                  <c:v>3.9176718204993779E-4</c:v>
                </c:pt>
                <c:pt idx="64">
                  <c:v>5.2778475018266176E-4</c:v>
                </c:pt>
                <c:pt idx="65">
                  <c:v>5.8192145089132092E-4</c:v>
                </c:pt>
                <c:pt idx="66">
                  <c:v>6.1267273771247518E-4</c:v>
                </c:pt>
                <c:pt idx="67">
                  <c:v>6.4438791796547377E-4</c:v>
                </c:pt>
                <c:pt idx="68">
                  <c:v>6.7761726322207341E-4</c:v>
                </c:pt>
                <c:pt idx="69">
                  <c:v>7.1292997875586277E-4</c:v>
                </c:pt>
                <c:pt idx="70">
                  <c:v>9.2383395008644115E-4</c:v>
                </c:pt>
                <c:pt idx="71">
                  <c:v>9.7208346143493746E-4</c:v>
                </c:pt>
                <c:pt idx="72">
                  <c:v>1.0216889297659502E-3</c:v>
                </c:pt>
                <c:pt idx="73">
                  <c:v>1.0726541564866042E-3</c:v>
                </c:pt>
                <c:pt idx="74">
                  <c:v>1.1249828328874097E-3</c:v>
                </c:pt>
                <c:pt idx="75">
                  <c:v>1.1786785373050454E-3</c:v>
                </c:pt>
                <c:pt idx="76">
                  <c:v>1.2337447507031253E-3</c:v>
                </c:pt>
                <c:pt idx="77">
                  <c:v>1.2901848713639168E-3</c:v>
                </c:pt>
                <c:pt idx="78">
                  <c:v>2.3422353009023475E-3</c:v>
                </c:pt>
                <c:pt idx="79">
                  <c:v>2.4044086995741684E-3</c:v>
                </c:pt>
                <c:pt idx="80">
                  <c:v>2.4674673730600122E-3</c:v>
                </c:pt>
                <c:pt idx="81">
                  <c:v>2.5314089915776487E-3</c:v>
                </c:pt>
                <c:pt idx="82">
                  <c:v>2.5962313125594888E-3</c:v>
                </c:pt>
                <c:pt idx="83">
                  <c:v>2.6619321981300277E-3</c:v>
                </c:pt>
                <c:pt idx="84">
                  <c:v>2.7285095828734401E-3</c:v>
                </c:pt>
                <c:pt idx="85">
                  <c:v>2.7959614902604473E-3</c:v>
                </c:pt>
                <c:pt idx="86">
                  <c:v>2.8642860092275547E-3</c:v>
                </c:pt>
                <c:pt idx="87">
                  <c:v>2.9334812928498251E-3</c:v>
                </c:pt>
                <c:pt idx="88">
                  <c:v>3.0085844360516587E-3</c:v>
                </c:pt>
                <c:pt idx="89">
                  <c:v>3.08605718294397E-3</c:v>
                </c:pt>
                <c:pt idx="90">
                  <c:v>3.1647212887782306E-3</c:v>
                </c:pt>
                <c:pt idx="91">
                  <c:v>3.2445754213873963E-3</c:v>
                </c:pt>
                <c:pt idx="92">
                  <c:v>3.325618349890677E-3</c:v>
                </c:pt>
                <c:pt idx="93">
                  <c:v>3.4078489129540299E-3</c:v>
                </c:pt>
                <c:pt idx="94">
                  <c:v>3.6160339540661736E-3</c:v>
                </c:pt>
                <c:pt idx="95">
                  <c:v>3.7127944527576527E-3</c:v>
                </c:pt>
                <c:pt idx="96">
                  <c:v>3.8111054706047912E-3</c:v>
                </c:pt>
                <c:pt idx="97">
                  <c:v>3.9109674413678715E-3</c:v>
                </c:pt>
                <c:pt idx="98">
                  <c:v>4.0123808165849718E-3</c:v>
                </c:pt>
                <c:pt idx="99">
                  <c:v>4.1153460631056004E-3</c:v>
                </c:pt>
                <c:pt idx="100">
                  <c:v>4.2198636457167942E-3</c:v>
                </c:pt>
                <c:pt idx="101">
                  <c:v>4.3259340382943625E-3</c:v>
                </c:pt>
                <c:pt idx="102">
                  <c:v>4.5427351338740039E-3</c:v>
                </c:pt>
                <c:pt idx="103">
                  <c:v>4.7682605282299579E-3</c:v>
                </c:pt>
                <c:pt idx="104">
                  <c:v>5.0126136057078189E-3</c:v>
                </c:pt>
                <c:pt idx="105">
                  <c:v>5.2641489082068125E-3</c:v>
                </c:pt>
                <c:pt idx="106">
                  <c:v>5.5228779260428455E-3</c:v>
                </c:pt>
                <c:pt idx="107">
                  <c:v>5.7888113699360822E-3</c:v>
                </c:pt>
                <c:pt idx="108">
                  <c:v>6.0619592161889214E-3</c:v>
                </c:pt>
                <c:pt idx="109">
                  <c:v>6.3423307141329197E-3</c:v>
                </c:pt>
                <c:pt idx="110">
                  <c:v>6.6299344525542828E-3</c:v>
                </c:pt>
              </c:numCache>
            </c:numRef>
          </c:yVal>
          <c:smooth val="0"/>
          <c:extLst>
            <c:ext xmlns:c16="http://schemas.microsoft.com/office/drawing/2014/chart" uri="{C3380CC4-5D6E-409C-BE32-E72D297353CC}">
              <c16:uniqueId val="{0000000E-7153-460E-B6C6-235DD5436A87}"/>
            </c:ext>
          </c:extLst>
        </c:ser>
        <c:ser>
          <c:idx val="15"/>
          <c:order val="12"/>
          <c:tx>
            <c:v>F105 IL with arch action</c:v>
          </c:tx>
          <c:spPr>
            <a:ln w="19050" cap="rnd">
              <a:solidFill>
                <a:schemeClr val="tx1"/>
              </a:solidFill>
              <a:prstDash val="dash"/>
              <a:round/>
            </a:ln>
            <a:effectLst/>
          </c:spPr>
          <c:marker>
            <c:symbol val="none"/>
          </c:marker>
          <c:xVal>
            <c:numRef>
              <c:f>'c'!$F$277:$F$387</c:f>
              <c:numCache>
                <c:formatCode>General</c:formatCode>
                <c:ptCount val="111"/>
                <c:pt idx="0">
                  <c:v>4.9730243938780503E-3</c:v>
                </c:pt>
                <c:pt idx="1">
                  <c:v>0.33267829875372046</c:v>
                </c:pt>
                <c:pt idx="2">
                  <c:v>0.39575656446617141</c:v>
                </c:pt>
                <c:pt idx="3">
                  <c:v>0.4381239752610987</c:v>
                </c:pt>
                <c:pt idx="4">
                  <c:v>0.47095314585805481</c:v>
                </c:pt>
                <c:pt idx="5">
                  <c:v>0.49813966592157205</c:v>
                </c:pt>
                <c:pt idx="6">
                  <c:v>0.52154559001759349</c:v>
                </c:pt>
                <c:pt idx="7">
                  <c:v>0.54221900665800793</c:v>
                </c:pt>
                <c:pt idx="8">
                  <c:v>0.56081343243821846</c:v>
                </c:pt>
                <c:pt idx="9">
                  <c:v>0.57776621465058287</c:v>
                </c:pt>
                <c:pt idx="10">
                  <c:v>0.59338565253686926</c:v>
                </c:pt>
                <c:pt idx="11">
                  <c:v>0.60281476301413028</c:v>
                </c:pt>
                <c:pt idx="12">
                  <c:v>0.71942354220977323</c:v>
                </c:pt>
                <c:pt idx="13">
                  <c:v>0.79899102696837254</c:v>
                </c:pt>
                <c:pt idx="14">
                  <c:v>0.8615932124770711</c:v>
                </c:pt>
                <c:pt idx="15">
                  <c:v>0.91421167354847854</c:v>
                </c:pt>
                <c:pt idx="16">
                  <c:v>0.96017509786639244</c:v>
                </c:pt>
                <c:pt idx="17">
                  <c:v>1.0013523954863526</c:v>
                </c:pt>
                <c:pt idx="18">
                  <c:v>1.0389059681607336</c:v>
                </c:pt>
                <c:pt idx="19">
                  <c:v>1.0736117603431587</c:v>
                </c:pt>
                <c:pt idx="20">
                  <c:v>1.1060153724490303</c:v>
                </c:pt>
                <c:pt idx="21">
                  <c:v>1.3593114846545298</c:v>
                </c:pt>
                <c:pt idx="22">
                  <c:v>1.5519544609164551</c:v>
                </c:pt>
                <c:pt idx="23">
                  <c:v>1.7177124856520969</c:v>
                </c:pt>
                <c:pt idx="24">
                  <c:v>1.8679819295741455</c:v>
                </c:pt>
                <c:pt idx="25">
                  <c:v>2.0080465492169632</c:v>
                </c:pt>
                <c:pt idx="26">
                  <c:v>2.1407975034095226</c:v>
                </c:pt>
                <c:pt idx="27">
                  <c:v>2.2679919604819596</c:v>
                </c:pt>
                <c:pt idx="28">
                  <c:v>2.3907796003245791</c:v>
                </c:pt>
                <c:pt idx="29">
                  <c:v>2.5099553283107761</c:v>
                </c:pt>
                <c:pt idx="30">
                  <c:v>2.626093014352795</c:v>
                </c:pt>
                <c:pt idx="31">
                  <c:v>2.7396216640525002</c:v>
                </c:pt>
                <c:pt idx="32">
                  <c:v>2.8508713737224554</c:v>
                </c:pt>
                <c:pt idx="33">
                  <c:v>2.9601023770646941</c:v>
                </c:pt>
                <c:pt idx="34">
                  <c:v>3.0675241265171453</c:v>
                </c:pt>
                <c:pt idx="35">
                  <c:v>3.1733082431755895</c:v>
                </c:pt>
                <c:pt idx="36">
                  <c:v>3.2775975546217837</c:v>
                </c:pt>
                <c:pt idx="37">
                  <c:v>3.3805125576606585</c:v>
                </c:pt>
                <c:pt idx="38">
                  <c:v>3.4821561394951028</c:v>
                </c:pt>
                <c:pt idx="39">
                  <c:v>3.5826170926931469</c:v>
                </c:pt>
                <c:pt idx="40">
                  <c:v>3.6819727769082746</c:v>
                </c:pt>
                <c:pt idx="41">
                  <c:v>3.7802911655237672</c:v>
                </c:pt>
                <c:pt idx="42">
                  <c:v>3.8776324413028918</c:v>
                </c:pt>
                <c:pt idx="43">
                  <c:v>3.9740502562164406</c:v>
                </c:pt>
                <c:pt idx="44">
                  <c:v>4.0695927376681276</c:v>
                </c:pt>
                <c:pt idx="45">
                  <c:v>4.1643033007270569</c:v>
                </c:pt>
                <c:pt idx="46">
                  <c:v>4.2582213101981523</c:v>
                </c:pt>
                <c:pt idx="47">
                  <c:v>4.3513826251808867</c:v>
                </c:pt>
                <c:pt idx="48">
                  <c:v>4.44382005073171</c:v>
                </c:pt>
                <c:pt idx="49">
                  <c:v>4.535563715395309</c:v>
                </c:pt>
                <c:pt idx="50">
                  <c:v>4.6266413890586833</c:v>
                </c:pt>
                <c:pt idx="51">
                  <c:v>4.7170787523691358</c:v>
                </c:pt>
                <c:pt idx="52">
                  <c:v>4.8068996265376835</c:v>
                </c:pt>
                <c:pt idx="53">
                  <c:v>4.896126170509346</c:v>
                </c:pt>
                <c:pt idx="54">
                  <c:v>4.9847790510694718</c:v>
                </c:pt>
                <c:pt idx="55">
                  <c:v>5.0728775903620189</c:v>
                </c:pt>
                <c:pt idx="56">
                  <c:v>5.1604398944423906</c:v>
                </c:pt>
                <c:pt idx="57">
                  <c:v>5.2474829658163875</c:v>
                </c:pt>
                <c:pt idx="58">
                  <c:v>5.3340228023852623</c:v>
                </c:pt>
                <c:pt idx="59">
                  <c:v>5.4200744847927922</c:v>
                </c:pt>
                <c:pt idx="60">
                  <c:v>5.5056522538299753</c:v>
                </c:pt>
                <c:pt idx="61">
                  <c:v>5.5907695792778966</c:v>
                </c:pt>
                <c:pt idx="62">
                  <c:v>5.6754392213459282</c:v>
                </c:pt>
                <c:pt idx="63">
                  <c:v>5.7596732856798836</c:v>
                </c:pt>
                <c:pt idx="64">
                  <c:v>5.8434832727647521</c:v>
                </c:pt>
                <c:pt idx="65">
                  <c:v>5.926880122422844</c:v>
                </c:pt>
                <c:pt idx="66">
                  <c:v>6.0098742540054682</c:v>
                </c:pt>
                <c:pt idx="67">
                  <c:v>6.0924756027906408</c:v>
                </c:pt>
                <c:pt idx="68">
                  <c:v>6.1746936530276342</c:v>
                </c:pt>
                <c:pt idx="69">
                  <c:v>6.2565374680089754</c:v>
                </c:pt>
                <c:pt idx="70">
                  <c:v>6.3380157174995215</c:v>
                </c:pt>
                <c:pt idx="71">
                  <c:v>6.4191367028092783</c:v>
                </c:pt>
                <c:pt idx="72">
                  <c:v>6.4999083797598081</c:v>
                </c:pt>
                <c:pt idx="73">
                  <c:v>6.5803383797628907</c:v>
                </c:pt>
                <c:pt idx="74">
                  <c:v>6.6604340292031985</c:v>
                </c:pt>
                <c:pt idx="75">
                  <c:v>6.7402023672937421</c:v>
                </c:pt>
                <c:pt idx="76">
                  <c:v>6.8196501625529438</c:v>
                </c:pt>
                <c:pt idx="77">
                  <c:v>6.8987839280350522</c:v>
                </c:pt>
                <c:pt idx="78">
                  <c:v>6.97760993543063</c:v>
                </c:pt>
                <c:pt idx="79">
                  <c:v>7.0561342281409294</c:v>
                </c:pt>
                <c:pt idx="80">
                  <c:v>7.1343626334186618</c:v>
                </c:pt>
                <c:pt idx="81">
                  <c:v>7.2123007736577289</c:v>
                </c:pt>
                <c:pt idx="82">
                  <c:v>7.2899540769058362</c:v>
                </c:pt>
                <c:pt idx="83">
                  <c:v>7.3673277866662845</c:v>
                </c:pt>
                <c:pt idx="84">
                  <c:v>7.4444269710484958</c:v>
                </c:pt>
                <c:pt idx="85">
                  <c:v>7.5212565313209341</c:v>
                </c:pt>
                <c:pt idx="86">
                  <c:v>7.5978212099147466</c:v>
                </c:pt>
                <c:pt idx="87">
                  <c:v>7.6741255979219227</c:v>
                </c:pt>
                <c:pt idx="88">
                  <c:v>7.7501741421274861</c:v>
                </c:pt>
                <c:pt idx="89">
                  <c:v>7.8259711516116504</c:v>
                </c:pt>
                <c:pt idx="90">
                  <c:v>7.9015208039545151</c:v>
                </c:pt>
                <c:pt idx="91">
                  <c:v>7.9768271510730058</c:v>
                </c:pt>
                <c:pt idx="92">
                  <c:v>8.0518941247170073</c:v>
                </c:pt>
                <c:pt idx="93">
                  <c:v>8.1267255416494315</c:v>
                </c:pt>
                <c:pt idx="94">
                  <c:v>8.2013251085326946</c:v>
                </c:pt>
                <c:pt idx="95">
                  <c:v>8.2756964265422575</c:v>
                </c:pt>
                <c:pt idx="96">
                  <c:v>8.3498429957261013</c:v>
                </c:pt>
                <c:pt idx="97">
                  <c:v>8.4237682191274885</c:v>
                </c:pt>
                <c:pt idx="98">
                  <c:v>8.4974754066869398</c:v>
                </c:pt>
                <c:pt idx="99">
                  <c:v>8.5709677789380798</c:v>
                </c:pt>
                <c:pt idx="100">
                  <c:v>8.6442484705107994</c:v>
                </c:pt>
                <c:pt idx="101">
                  <c:v>8.7173205334542683</c:v>
                </c:pt>
                <c:pt idx="102">
                  <c:v>8.8628505875138508</c:v>
                </c:pt>
                <c:pt idx="103">
                  <c:v>9.0075808218821223</c:v>
                </c:pt>
                <c:pt idx="104">
                  <c:v>9.1515329822958833</c:v>
                </c:pt>
                <c:pt idx="105">
                  <c:v>9.2947277601081097</c:v>
                </c:pt>
                <c:pt idx="106">
                  <c:v>9.437184865503065</c:v>
                </c:pt>
                <c:pt idx="107">
                  <c:v>9.5789230941196593</c:v>
                </c:pt>
                <c:pt idx="108">
                  <c:v>9.7199603878095537</c:v>
                </c:pt>
                <c:pt idx="109">
                  <c:v>9.8603138901621428</c:v>
                </c:pt>
                <c:pt idx="110">
                  <c:v>9.9999999973481977</c:v>
                </c:pt>
              </c:numCache>
            </c:numRef>
          </c:xVal>
          <c:yVal>
            <c:numRef>
              <c:f>'c'!$M$277:$M$387</c:f>
              <c:numCache>
                <c:formatCode>General</c:formatCode>
                <c:ptCount val="111"/>
                <c:pt idx="1">
                  <c:v>1.1113999936810894E-10</c:v>
                </c:pt>
                <c:pt idx="2">
                  <c:v>3.9085356812067546E-10</c:v>
                </c:pt>
                <c:pt idx="3">
                  <c:v>8.3427691384768017E-10</c:v>
                </c:pt>
                <c:pt idx="4">
                  <c:v>1.386608795981331E-9</c:v>
                </c:pt>
                <c:pt idx="5">
                  <c:v>2.0226752460063418E-9</c:v>
                </c:pt>
                <c:pt idx="6">
                  <c:v>2.7289644380883384E-9</c:v>
                </c:pt>
                <c:pt idx="7">
                  <c:v>3.4913347001537886E-9</c:v>
                </c:pt>
                <c:pt idx="8">
                  <c:v>3.4543392079667602E-9</c:v>
                </c:pt>
                <c:pt idx="9">
                  <c:v>3.693762720302251E-9</c:v>
                </c:pt>
                <c:pt idx="10">
                  <c:v>4.5717984237724724E-9</c:v>
                </c:pt>
                <c:pt idx="11">
                  <c:v>5.1497661521165076E-9</c:v>
                </c:pt>
                <c:pt idx="12">
                  <c:v>1.8874537178687715E-8</c:v>
                </c:pt>
                <c:pt idx="13">
                  <c:v>3.8466304563914844E-8</c:v>
                </c:pt>
                <c:pt idx="14">
                  <c:v>6.0949680753147779E-8</c:v>
                </c:pt>
                <c:pt idx="15">
                  <c:v>8.844075414107319E-8</c:v>
                </c:pt>
                <c:pt idx="16">
                  <c:v>1.2017884915995771E-7</c:v>
                </c:pt>
                <c:pt idx="17">
                  <c:v>1.637265068013284E-7</c:v>
                </c:pt>
                <c:pt idx="18">
                  <c:v>1.7894685808443051E-7</c:v>
                </c:pt>
                <c:pt idx="19">
                  <c:v>1.9658830059935706E-7</c:v>
                </c:pt>
                <c:pt idx="20">
                  <c:v>2.1782290756683059E-7</c:v>
                </c:pt>
                <c:pt idx="21">
                  <c:v>7.3926863324290077E-7</c:v>
                </c:pt>
                <c:pt idx="22">
                  <c:v>1.5274690072712609E-6</c:v>
                </c:pt>
                <c:pt idx="23">
                  <c:v>2.7605551119096361E-6</c:v>
                </c:pt>
                <c:pt idx="24">
                  <c:v>3.5046970967206028E-6</c:v>
                </c:pt>
                <c:pt idx="25">
                  <c:v>4.9159810657185231E-6</c:v>
                </c:pt>
                <c:pt idx="26">
                  <c:v>6.758946534605063E-6</c:v>
                </c:pt>
                <c:pt idx="27">
                  <c:v>9.4264381886135586E-6</c:v>
                </c:pt>
                <c:pt idx="28">
                  <c:v>1.3104463288953433E-5</c:v>
                </c:pt>
                <c:pt idx="29">
                  <c:v>1.7513963495895657E-5</c:v>
                </c:pt>
                <c:pt idx="30">
                  <c:v>2.2682228936844401E-5</c:v>
                </c:pt>
                <c:pt idx="31">
                  <c:v>2.8631892214866364E-5</c:v>
                </c:pt>
                <c:pt idx="32">
                  <c:v>3.5777512616206827E-5</c:v>
                </c:pt>
                <c:pt idx="33">
                  <c:v>4.2473286411583291E-5</c:v>
                </c:pt>
                <c:pt idx="34">
                  <c:v>4.7124655814654581E-5</c:v>
                </c:pt>
                <c:pt idx="35">
                  <c:v>5.887865245142145E-5</c:v>
                </c:pt>
                <c:pt idx="36">
                  <c:v>6.7359040290702269E-5</c:v>
                </c:pt>
                <c:pt idx="37">
                  <c:v>7.6964746816096747E-5</c:v>
                </c:pt>
                <c:pt idx="38">
                  <c:v>8.7744909369710439E-5</c:v>
                </c:pt>
                <c:pt idx="39">
                  <c:v>9.9749127720937745E-5</c:v>
                </c:pt>
                <c:pt idx="40">
                  <c:v>1.1302634086549948E-4</c:v>
                </c:pt>
                <c:pt idx="41">
                  <c:v>1.2762409128050999E-4</c:v>
                </c:pt>
                <c:pt idx="42">
                  <c:v>1.4358805304567055E-4</c:v>
                </c:pt>
                <c:pt idx="43">
                  <c:v>1.6096174754366357E-4</c:v>
                </c:pt>
                <c:pt idx="44">
                  <c:v>1.7978638421738577E-4</c:v>
                </c:pt>
                <c:pt idx="45">
                  <c:v>2.0535040165456391E-4</c:v>
                </c:pt>
                <c:pt idx="46">
                  <c:v>2.340138819214913E-4</c:v>
                </c:pt>
                <c:pt idx="47">
                  <c:v>2.6520993097891205E-4</c:v>
                </c:pt>
                <c:pt idx="48">
                  <c:v>3.0050896385971551E-4</c:v>
                </c:pt>
                <c:pt idx="49">
                  <c:v>3.3775292861303974E-4</c:v>
                </c:pt>
                <c:pt idx="50">
                  <c:v>3.709417071890615E-4</c:v>
                </c:pt>
                <c:pt idx="51">
                  <c:v>3.9927859797680477E-4</c:v>
                </c:pt>
                <c:pt idx="52">
                  <c:v>4.3678241292898845E-4</c:v>
                </c:pt>
                <c:pt idx="53">
                  <c:v>4.8367044179855294E-4</c:v>
                </c:pt>
                <c:pt idx="54">
                  <c:v>5.3423040464884721E-4</c:v>
                </c:pt>
                <c:pt idx="55">
                  <c:v>5.8856813481953101E-4</c:v>
                </c:pt>
                <c:pt idx="56">
                  <c:v>6.4678580451235093E-4</c:v>
                </c:pt>
                <c:pt idx="57">
                  <c:v>7.0898181675298026E-4</c:v>
                </c:pt>
                <c:pt idx="58">
                  <c:v>7.7525074603851493E-4</c:v>
                </c:pt>
                <c:pt idx="59">
                  <c:v>8.4568333047425025E-4</c:v>
                </c:pt>
                <c:pt idx="60">
                  <c:v>9.2036648185836489E-4</c:v>
                </c:pt>
                <c:pt idx="61">
                  <c:v>9.9938333672386424E-4</c:v>
                </c:pt>
                <c:pt idx="62">
                  <c:v>9.6159274258980653E-4</c:v>
                </c:pt>
                <c:pt idx="63">
                  <c:v>1.0458309489576878E-3</c:v>
                </c:pt>
                <c:pt idx="64">
                  <c:v>1.1346558612407897E-3</c:v>
                </c:pt>
                <c:pt idx="65">
                  <c:v>1.228138815730652E-3</c:v>
                </c:pt>
                <c:pt idx="66">
                  <c:v>1.3263475254089189E-3</c:v>
                </c:pt>
                <c:pt idx="67">
                  <c:v>1.4293461991406286E-3</c:v>
                </c:pt>
                <c:pt idx="68">
                  <c:v>1.5445418930743445E-3</c:v>
                </c:pt>
                <c:pt idx="69">
                  <c:v>1.6606702924234506E-3</c:v>
                </c:pt>
                <c:pt idx="70">
                  <c:v>1.7824717377291992E-3</c:v>
                </c:pt>
                <c:pt idx="71">
                  <c:v>1.9100290823675108E-3</c:v>
                </c:pt>
                <c:pt idx="72">
                  <c:v>2.1212166362948961E-3</c:v>
                </c:pt>
                <c:pt idx="73">
                  <c:v>2.2801442802979715E-3</c:v>
                </c:pt>
                <c:pt idx="74">
                  <c:v>2.4417650242933601E-3</c:v>
                </c:pt>
                <c:pt idx="75">
                  <c:v>2.6017827363318037E-3</c:v>
                </c:pt>
                <c:pt idx="76">
                  <c:v>2.7284820323790651E-3</c:v>
                </c:pt>
                <c:pt idx="77">
                  <c:v>2.8619119630298412E-3</c:v>
                </c:pt>
                <c:pt idx="78">
                  <c:v>3.0021994100350529E-3</c:v>
                </c:pt>
                <c:pt idx="79">
                  <c:v>3.149472900787141E-3</c:v>
                </c:pt>
                <c:pt idx="80">
                  <c:v>3.3038619995413784E-3</c:v>
                </c:pt>
                <c:pt idx="81">
                  <c:v>3.4654968217482378E-3</c:v>
                </c:pt>
                <c:pt idx="82">
                  <c:v>3.6345075514849098E-3</c:v>
                </c:pt>
                <c:pt idx="83">
                  <c:v>3.8078671814578812E-3</c:v>
                </c:pt>
                <c:pt idx="84">
                  <c:v>3.9938759564089469E-3</c:v>
                </c:pt>
                <c:pt idx="85">
                  <c:v>4.1868471615238339E-3</c:v>
                </c:pt>
                <c:pt idx="86">
                  <c:v>4.3868698237022677E-3</c:v>
                </c:pt>
                <c:pt idx="87">
                  <c:v>4.5940312948245764E-3</c:v>
                </c:pt>
                <c:pt idx="88">
                  <c:v>4.8084172056237131E-3</c:v>
                </c:pt>
                <c:pt idx="89">
                  <c:v>5.0301113844823473E-3</c:v>
                </c:pt>
                <c:pt idx="90">
                  <c:v>5.2591958339308423E-3</c:v>
                </c:pt>
                <c:pt idx="91">
                  <c:v>5.4957506869749151E-3</c:v>
                </c:pt>
                <c:pt idx="92">
                  <c:v>5.7398542073121128E-3</c:v>
                </c:pt>
                <c:pt idx="93">
                  <c:v>5.9915827363849206E-3</c:v>
                </c:pt>
                <c:pt idx="94">
                  <c:v>6.2510107352757426E-3</c:v>
                </c:pt>
                <c:pt idx="95">
                  <c:v>6.5182107392005618E-3</c:v>
                </c:pt>
                <c:pt idx="96">
                  <c:v>6.8141362708563418E-3</c:v>
                </c:pt>
                <c:pt idx="97">
                  <c:v>7.104125586237635E-3</c:v>
                </c:pt>
                <c:pt idx="98">
                  <c:v>7.5166783903651791E-3</c:v>
                </c:pt>
                <c:pt idx="99">
                  <c:v>7.8533016683889189E-3</c:v>
                </c:pt>
                <c:pt idx="100">
                  <c:v>8.2026976431423884E-3</c:v>
                </c:pt>
                <c:pt idx="101">
                  <c:v>8.56504356828117E-3</c:v>
                </c:pt>
                <c:pt idx="102">
                  <c:v>9.3292864139727164E-3</c:v>
                </c:pt>
                <c:pt idx="103">
                  <c:v>1.0147414594515139E-2</c:v>
                </c:pt>
                <c:pt idx="104">
                  <c:v>1.102078121275623E-2</c:v>
                </c:pt>
                <c:pt idx="105">
                  <c:v>1.1950704735045219E-2</c:v>
                </c:pt>
                <c:pt idx="106">
                  <c:v>1.2938394227385706E-2</c:v>
                </c:pt>
                <c:pt idx="107">
                  <c:v>1.3984772505004479E-2</c:v>
                </c:pt>
                <c:pt idx="108">
                  <c:v>1.5091399126777231E-2</c:v>
                </c:pt>
                <c:pt idx="109">
                  <c:v>1.6259434115213391E-2</c:v>
                </c:pt>
                <c:pt idx="110">
                  <c:v>1.7489996009629326E-2</c:v>
                </c:pt>
              </c:numCache>
            </c:numRef>
          </c:yVal>
          <c:smooth val="0"/>
          <c:extLst>
            <c:ext xmlns:c16="http://schemas.microsoft.com/office/drawing/2014/chart" uri="{C3380CC4-5D6E-409C-BE32-E72D297353CC}">
              <c16:uniqueId val="{0000000F-7153-460E-B6C6-235DD5436A87}"/>
            </c:ext>
          </c:extLst>
        </c:ser>
        <c:ser>
          <c:idx val="26"/>
          <c:order val="23"/>
          <c:tx>
            <c:v>VIVANA CF</c:v>
          </c:tx>
          <c:spPr>
            <a:ln w="25400" cap="rnd">
              <a:solidFill>
                <a:srgbClr val="FF0000"/>
              </a:solidFill>
              <a:round/>
            </a:ln>
            <a:effectLst/>
          </c:spPr>
          <c:marker>
            <c:symbol val="x"/>
            <c:size val="7"/>
            <c:spPr>
              <a:solidFill>
                <a:schemeClr val="bg1"/>
              </a:solidFill>
              <a:ln w="9525">
                <a:solidFill>
                  <a:srgbClr val="FF0000"/>
                </a:solidFill>
              </a:ln>
              <a:effectLst/>
            </c:spPr>
          </c:marker>
          <c:xVal>
            <c:numRef>
              <c:f>VIVANA_res!$I$3:$I$20</c:f>
              <c:numCache>
                <c:formatCode>General</c:formatCode>
                <c:ptCount val="18"/>
                <c:pt idx="0">
                  <c:v>0.60281476301413028</c:v>
                </c:pt>
                <c:pt idx="1">
                  <c:v>1.0013523954863526</c:v>
                </c:pt>
                <c:pt idx="2">
                  <c:v>1.5519544609164551</c:v>
                </c:pt>
                <c:pt idx="3">
                  <c:v>2.0080465492169632</c:v>
                </c:pt>
                <c:pt idx="4">
                  <c:v>2.5099553283107761</c:v>
                </c:pt>
                <c:pt idx="5">
                  <c:v>2.9601023770646941</c:v>
                </c:pt>
                <c:pt idx="6">
                  <c:v>3.4821561394951028</c:v>
                </c:pt>
                <c:pt idx="7">
                  <c:v>4.0695927376681276</c:v>
                </c:pt>
                <c:pt idx="8">
                  <c:v>4.535563715395309</c:v>
                </c:pt>
                <c:pt idx="9">
                  <c:v>5.0728775903620189</c:v>
                </c:pt>
                <c:pt idx="10">
                  <c:v>6.0098742540054682</c:v>
                </c:pt>
                <c:pt idx="11">
                  <c:v>6.4999083797598081</c:v>
                </c:pt>
                <c:pt idx="12">
                  <c:v>6.97760993543063</c:v>
                </c:pt>
                <c:pt idx="13">
                  <c:v>7.5212565313209341</c:v>
                </c:pt>
                <c:pt idx="14">
                  <c:v>8.0518941247170073</c:v>
                </c:pt>
                <c:pt idx="15">
                  <c:v>8.4974754066869398</c:v>
                </c:pt>
                <c:pt idx="16">
                  <c:v>9.0075808218821223</c:v>
                </c:pt>
                <c:pt idx="17">
                  <c:v>9.9999999973481977</c:v>
                </c:pt>
              </c:numCache>
            </c:numRef>
          </c:xVal>
          <c:yVal>
            <c:numRef>
              <c:f>VIVANA_res!$K$3:$K$20</c:f>
              <c:numCache>
                <c:formatCode>0.00E+00</c:formatCode>
                <c:ptCount val="18"/>
                <c:pt idx="0">
                  <c:v>5.1652080162354144E-10</c:v>
                </c:pt>
                <c:pt idx="1">
                  <c:v>1.4629629629629631E-6</c:v>
                </c:pt>
                <c:pt idx="2">
                  <c:v>2.5297437848807713E-7</c:v>
                </c:pt>
                <c:pt idx="3">
                  <c:v>5.4937214611872144E-5</c:v>
                </c:pt>
                <c:pt idx="4">
                  <c:v>9.8309868087265357E-5</c:v>
                </c:pt>
                <c:pt idx="5">
                  <c:v>3.3802638254693046E-6</c:v>
                </c:pt>
                <c:pt idx="6">
                  <c:v>8.113901572805683E-6</c:v>
                </c:pt>
                <c:pt idx="7">
                  <c:v>1.0846651445966513E-3</c:v>
                </c:pt>
                <c:pt idx="8">
                  <c:v>1.7102359208523593E-3</c:v>
                </c:pt>
                <c:pt idx="9">
                  <c:v>3.7740994419076612E-5</c:v>
                </c:pt>
                <c:pt idx="10">
                  <c:v>6.6942541856925415E-5</c:v>
                </c:pt>
                <c:pt idx="11">
                  <c:v>9.8645991882293261E-5</c:v>
                </c:pt>
                <c:pt idx="12">
                  <c:v>1.3783929477422627E-4</c:v>
                </c:pt>
                <c:pt idx="13">
                  <c:v>1.2417554540842212E-2</c:v>
                </c:pt>
                <c:pt idx="14">
                  <c:v>1.6194190766108573E-2</c:v>
                </c:pt>
                <c:pt idx="15">
                  <c:v>1.713121511922882E-2</c:v>
                </c:pt>
                <c:pt idx="16">
                  <c:v>3.3352359208523594E-4</c:v>
                </c:pt>
                <c:pt idx="17">
                  <c:v>5.6643201420598682E-4</c:v>
                </c:pt>
              </c:numCache>
            </c:numRef>
          </c:yVal>
          <c:smooth val="0"/>
          <c:extLst>
            <c:ext xmlns:c16="http://schemas.microsoft.com/office/drawing/2014/chart" uri="{C3380CC4-5D6E-409C-BE32-E72D297353CC}">
              <c16:uniqueId val="{0000001C-7153-460E-B6C6-235DD5436A87}"/>
            </c:ext>
          </c:extLst>
        </c:ser>
        <c:dLbls>
          <c:showLegendKey val="0"/>
          <c:showVal val="0"/>
          <c:showCatName val="0"/>
          <c:showSerName val="0"/>
          <c:showPercent val="0"/>
          <c:showBubbleSize val="0"/>
        </c:dLbls>
        <c:axId val="624399680"/>
        <c:axId val="624400008"/>
        <c:extLst>
          <c:ext xmlns:c15="http://schemas.microsoft.com/office/drawing/2012/chart" uri="{02D57815-91ED-43cb-92C2-25804820EDAC}">
            <c15:filteredScatterSeries>
              <c15:ser>
                <c:idx val="16"/>
                <c:order val="13"/>
                <c:tx>
                  <c:v>CF, Pipe 3, 48% straked</c:v>
                </c:tx>
                <c:spPr>
                  <a:ln w="25400" cap="rnd">
                    <a:noFill/>
                    <a:round/>
                  </a:ln>
                  <a:effectLst/>
                </c:spPr>
                <c:marker>
                  <c:symbol val="square"/>
                  <c:size val="7"/>
                  <c:spPr>
                    <a:solidFill>
                      <a:srgbClr val="FF0000"/>
                    </a:solidFill>
                    <a:ln w="9525">
                      <a:solidFill>
                        <a:srgbClr val="FF0000"/>
                      </a:solidFill>
                    </a:ln>
                    <a:effectLst/>
                  </c:spPr>
                </c:marker>
                <c:xVal>
                  <c:numRef>
                    <c:extLst>
                      <c:ext uri="{02D57815-91ED-43cb-92C2-25804820EDAC}">
                        <c15:formulaRef>
                          <c15:sqref>m!$FG$136:$FK$136</c15:sqref>
                        </c15:formulaRef>
                      </c:ext>
                    </c:extLst>
                    <c:numCache>
                      <c:formatCode>General</c:formatCode>
                      <c:ptCount val="5"/>
                      <c:pt idx="0">
                        <c:v>0.96048642325127032</c:v>
                      </c:pt>
                      <c:pt idx="1">
                        <c:v>4.1576856582323369</c:v>
                      </c:pt>
                    </c:numCache>
                  </c:numRef>
                </c:xVal>
                <c:yVal>
                  <c:numRef>
                    <c:extLst>
                      <c:ext uri="{02D57815-91ED-43cb-92C2-25804820EDAC}">
                        <c15:formulaRef>
                          <c15:sqref>m!$FG$144:$FK$144</c15:sqref>
                        </c15:formulaRef>
                      </c:ext>
                    </c:extLst>
                    <c:numCache>
                      <c:formatCode>General</c:formatCode>
                      <c:ptCount val="5"/>
                      <c:pt idx="0">
                        <c:v>9.1161515508772583E-8</c:v>
                      </c:pt>
                      <c:pt idx="1">
                        <c:v>2.4228612780127166E-4</c:v>
                      </c:pt>
                    </c:numCache>
                  </c:numRef>
                </c:yVal>
                <c:smooth val="0"/>
                <c:extLst>
                  <c:ext xmlns:c16="http://schemas.microsoft.com/office/drawing/2014/chart" uri="{C3380CC4-5D6E-409C-BE32-E72D297353CC}">
                    <c16:uniqueId val="{00000010-7153-460E-B6C6-235DD5436A87}"/>
                  </c:ext>
                </c:extLst>
              </c15:ser>
            </c15:filteredScatterSeries>
            <c15:filteredScatterSeries>
              <c15:ser>
                <c:idx val="17"/>
                <c:order val="14"/>
                <c:tx>
                  <c:v>IL, Pipe 3, 48% straked</c:v>
                </c:tx>
                <c:spPr>
                  <a:ln w="25400" cap="rnd">
                    <a:noFill/>
                    <a:round/>
                  </a:ln>
                  <a:effectLst/>
                </c:spPr>
                <c:marker>
                  <c:symbol val="circle"/>
                  <c:size val="7"/>
                  <c:spPr>
                    <a:solidFill>
                      <a:srgbClr val="FF0000"/>
                    </a:solidFill>
                    <a:ln w="9525">
                      <a:solidFill>
                        <a:srgbClr val="FF0000"/>
                      </a:solidFill>
                    </a:ln>
                    <a:effectLst/>
                  </c:spPr>
                </c:marker>
                <c:xVal>
                  <c:numRef>
                    <c:extLst xmlns:c15="http://schemas.microsoft.com/office/drawing/2012/chart">
                      <c:ext xmlns:c15="http://schemas.microsoft.com/office/drawing/2012/chart" uri="{02D57815-91ED-43cb-92C2-25804820EDAC}">
                        <c15:formulaRef>
                          <c15:sqref>m!$FG$136:$FK$136</c15:sqref>
                        </c15:formulaRef>
                      </c:ext>
                    </c:extLst>
                    <c:numCache>
                      <c:formatCode>General</c:formatCode>
                      <c:ptCount val="5"/>
                      <c:pt idx="0">
                        <c:v>0.96048642325127032</c:v>
                      </c:pt>
                      <c:pt idx="1">
                        <c:v>4.1576856582323369</c:v>
                      </c:pt>
                    </c:numCache>
                  </c:numRef>
                </c:xVal>
                <c:yVal>
                  <c:numRef>
                    <c:extLst xmlns:c15="http://schemas.microsoft.com/office/drawing/2012/chart">
                      <c:ext xmlns:c15="http://schemas.microsoft.com/office/drawing/2012/chart" uri="{02D57815-91ED-43cb-92C2-25804820EDAC}">
                        <c15:formulaRef>
                          <c15:sqref>m!$FG$145:$FK$145</c15:sqref>
                        </c15:formulaRef>
                      </c:ext>
                    </c:extLst>
                    <c:numCache>
                      <c:formatCode>General</c:formatCode>
                      <c:ptCount val="5"/>
                      <c:pt idx="0">
                        <c:v>1.350413529163887E-9</c:v>
                      </c:pt>
                      <c:pt idx="1">
                        <c:v>3.1271302032692475E-5</c:v>
                      </c:pt>
                    </c:numCache>
                  </c:numRef>
                </c:yVal>
                <c:smooth val="0"/>
                <c:extLst xmlns:c15="http://schemas.microsoft.com/office/drawing/2012/chart">
                  <c:ext xmlns:c16="http://schemas.microsoft.com/office/drawing/2014/chart" uri="{C3380CC4-5D6E-409C-BE32-E72D297353CC}">
                    <c16:uniqueId val="{00000011-7153-460E-B6C6-235DD5436A87}"/>
                  </c:ext>
                </c:extLst>
              </c15:ser>
            </c15:filteredScatterSeries>
            <c15:filteredScatterSeries>
              <c15:ser>
                <c:idx val="18"/>
                <c:order val="15"/>
                <c:tx>
                  <c:v>CF, Pipe 3, 75% straked</c:v>
                </c:tx>
                <c:spPr>
                  <a:ln w="25400" cap="rnd">
                    <a:noFill/>
                    <a:round/>
                  </a:ln>
                  <a:effectLst/>
                </c:spPr>
                <c:marker>
                  <c:symbol val="square"/>
                  <c:size val="7"/>
                  <c:spPr>
                    <a:solidFill>
                      <a:srgbClr val="FFC000"/>
                    </a:solidFill>
                    <a:ln w="9525">
                      <a:solidFill>
                        <a:srgbClr val="FFC000"/>
                      </a:solidFill>
                    </a:ln>
                    <a:effectLst/>
                  </c:spPr>
                </c:marker>
                <c:xVal>
                  <c:numRef>
                    <c:extLst xmlns:c15="http://schemas.microsoft.com/office/drawing/2012/chart">
                      <c:ext xmlns:c15="http://schemas.microsoft.com/office/drawing/2012/chart" uri="{02D57815-91ED-43cb-92C2-25804820EDAC}">
                        <c15:formulaRef>
                          <c15:sqref>m!$FB$136:$FF$136</c15:sqref>
                        </c15:formulaRef>
                      </c:ext>
                    </c:extLst>
                    <c:numCache>
                      <c:formatCode>General</c:formatCode>
                      <c:ptCount val="5"/>
                      <c:pt idx="0">
                        <c:v>0.96115497233793457</c:v>
                      </c:pt>
                      <c:pt idx="1">
                        <c:v>4.1565568612314019</c:v>
                      </c:pt>
                    </c:numCache>
                  </c:numRef>
                </c:xVal>
                <c:yVal>
                  <c:numRef>
                    <c:extLst xmlns:c15="http://schemas.microsoft.com/office/drawing/2012/chart">
                      <c:ext xmlns:c15="http://schemas.microsoft.com/office/drawing/2012/chart" uri="{02D57815-91ED-43cb-92C2-25804820EDAC}">
                        <c15:formulaRef>
                          <c15:sqref>m!$FB$144:$FF$144</c15:sqref>
                        </c15:formulaRef>
                      </c:ext>
                    </c:extLst>
                    <c:numCache>
                      <c:formatCode>General</c:formatCode>
                      <c:ptCount val="5"/>
                      <c:pt idx="0">
                        <c:v>5.1963116081403397E-9</c:v>
                      </c:pt>
                      <c:pt idx="1">
                        <c:v>2.3315909363752806E-5</c:v>
                      </c:pt>
                    </c:numCache>
                  </c:numRef>
                </c:yVal>
                <c:smooth val="0"/>
                <c:extLst xmlns:c15="http://schemas.microsoft.com/office/drawing/2012/chart">
                  <c:ext xmlns:c16="http://schemas.microsoft.com/office/drawing/2014/chart" uri="{C3380CC4-5D6E-409C-BE32-E72D297353CC}">
                    <c16:uniqueId val="{00000012-7153-460E-B6C6-235DD5436A87}"/>
                  </c:ext>
                </c:extLst>
              </c15:ser>
            </c15:filteredScatterSeries>
            <c15:filteredScatterSeries>
              <c15:ser>
                <c:idx val="19"/>
                <c:order val="16"/>
                <c:tx>
                  <c:v>IL, Pipe 3, 75% straked</c:v>
                </c:tx>
                <c:spPr>
                  <a:ln w="25400" cap="rnd">
                    <a:noFill/>
                    <a:round/>
                  </a:ln>
                  <a:effectLst/>
                </c:spPr>
                <c:marker>
                  <c:symbol val="circle"/>
                  <c:size val="7"/>
                  <c:spPr>
                    <a:solidFill>
                      <a:srgbClr val="FFC000"/>
                    </a:solidFill>
                    <a:ln w="9525">
                      <a:solidFill>
                        <a:srgbClr val="FFC000"/>
                      </a:solidFill>
                    </a:ln>
                    <a:effectLst/>
                  </c:spPr>
                </c:marker>
                <c:xVal>
                  <c:numRef>
                    <c:extLst xmlns:c15="http://schemas.microsoft.com/office/drawing/2012/chart">
                      <c:ext xmlns:c15="http://schemas.microsoft.com/office/drawing/2012/chart" uri="{02D57815-91ED-43cb-92C2-25804820EDAC}">
                        <c15:formulaRef>
                          <c15:sqref>m!$FB$136:$FF$136</c15:sqref>
                        </c15:formulaRef>
                      </c:ext>
                    </c:extLst>
                    <c:numCache>
                      <c:formatCode>General</c:formatCode>
                      <c:ptCount val="5"/>
                      <c:pt idx="0">
                        <c:v>0.96115497233793457</c:v>
                      </c:pt>
                      <c:pt idx="1">
                        <c:v>4.1565568612314019</c:v>
                      </c:pt>
                    </c:numCache>
                  </c:numRef>
                </c:xVal>
                <c:yVal>
                  <c:numRef>
                    <c:extLst xmlns:c15="http://schemas.microsoft.com/office/drawing/2012/chart">
                      <c:ext xmlns:c15="http://schemas.microsoft.com/office/drawing/2012/chart" uri="{02D57815-91ED-43cb-92C2-25804820EDAC}">
                        <c15:formulaRef>
                          <c15:sqref>m!$FB$145:$FF$145</c15:sqref>
                        </c15:formulaRef>
                      </c:ext>
                    </c:extLst>
                    <c:numCache>
                      <c:formatCode>General</c:formatCode>
                      <c:ptCount val="5"/>
                      <c:pt idx="0">
                        <c:v>8.208446219430382E-10</c:v>
                      </c:pt>
                      <c:pt idx="1">
                        <c:v>2.9085125566320836E-7</c:v>
                      </c:pt>
                    </c:numCache>
                  </c:numRef>
                </c:yVal>
                <c:smooth val="0"/>
                <c:extLst xmlns:c15="http://schemas.microsoft.com/office/drawing/2012/chart">
                  <c:ext xmlns:c16="http://schemas.microsoft.com/office/drawing/2014/chart" uri="{C3380CC4-5D6E-409C-BE32-E72D297353CC}">
                    <c16:uniqueId val="{00000013-7153-460E-B6C6-235DD5436A87}"/>
                  </c:ext>
                </c:extLst>
              </c15:ser>
            </c15:filteredScatterSeries>
            <c15:filteredScatterSeries>
              <c15:ser>
                <c:idx val="20"/>
                <c:order val="17"/>
                <c:tx>
                  <c:v>CF, Pipe 3, 85% straked</c:v>
                </c:tx>
                <c:spPr>
                  <a:ln w="25400" cap="rnd">
                    <a:noFill/>
                    <a:round/>
                  </a:ln>
                  <a:effectLst/>
                </c:spPr>
                <c:marker>
                  <c:symbol val="square"/>
                  <c:size val="7"/>
                  <c:spPr>
                    <a:solidFill>
                      <a:srgbClr val="00B050"/>
                    </a:solidFill>
                    <a:ln w="9525">
                      <a:solidFill>
                        <a:srgbClr val="00B050"/>
                      </a:solidFill>
                    </a:ln>
                    <a:effectLst/>
                  </c:spPr>
                </c:marker>
                <c:xVal>
                  <c:numRef>
                    <c:extLst xmlns:c15="http://schemas.microsoft.com/office/drawing/2012/chart">
                      <c:ext xmlns:c15="http://schemas.microsoft.com/office/drawing/2012/chart" uri="{02D57815-91ED-43cb-92C2-25804820EDAC}">
                        <c15:formulaRef>
                          <c15:sqref>m!$EW$136:$FA$136</c15:sqref>
                        </c15:formulaRef>
                      </c:ext>
                    </c:extLst>
                    <c:numCache>
                      <c:formatCode>General</c:formatCode>
                      <c:ptCount val="5"/>
                      <c:pt idx="0">
                        <c:v>1.275990699224635</c:v>
                      </c:pt>
                      <c:pt idx="1">
                        <c:v>4.2191067315113493</c:v>
                      </c:pt>
                    </c:numCache>
                  </c:numRef>
                </c:xVal>
                <c:yVal>
                  <c:numRef>
                    <c:extLst xmlns:c15="http://schemas.microsoft.com/office/drawing/2012/chart">
                      <c:ext xmlns:c15="http://schemas.microsoft.com/office/drawing/2012/chart" uri="{02D57815-91ED-43cb-92C2-25804820EDAC}">
                        <c15:formulaRef>
                          <c15:sqref>m!$EW$144:$FA$144</c15:sqref>
                        </c15:formulaRef>
                      </c:ext>
                    </c:extLst>
                    <c:numCache>
                      <c:formatCode>General</c:formatCode>
                      <c:ptCount val="5"/>
                      <c:pt idx="0">
                        <c:v>4.1380959611613444E-9</c:v>
                      </c:pt>
                      <c:pt idx="1">
                        <c:v>6.8556960655948825E-7</c:v>
                      </c:pt>
                    </c:numCache>
                  </c:numRef>
                </c:yVal>
                <c:smooth val="0"/>
                <c:extLst xmlns:c15="http://schemas.microsoft.com/office/drawing/2012/chart">
                  <c:ext xmlns:c16="http://schemas.microsoft.com/office/drawing/2014/chart" uri="{C3380CC4-5D6E-409C-BE32-E72D297353CC}">
                    <c16:uniqueId val="{00000014-7153-460E-B6C6-235DD5436A87}"/>
                  </c:ext>
                </c:extLst>
              </c15:ser>
            </c15:filteredScatterSeries>
            <c15:filteredScatterSeries>
              <c15:ser>
                <c:idx val="21"/>
                <c:order val="18"/>
                <c:tx>
                  <c:v>IL, Pipe 3, 85% straked</c:v>
                </c:tx>
                <c:spPr>
                  <a:ln w="25400" cap="rnd">
                    <a:noFill/>
                    <a:round/>
                  </a:ln>
                  <a:effectLst/>
                </c:spPr>
                <c:marker>
                  <c:symbol val="circle"/>
                  <c:size val="7"/>
                  <c:spPr>
                    <a:solidFill>
                      <a:srgbClr val="00B050"/>
                    </a:solidFill>
                    <a:ln w="9525">
                      <a:solidFill>
                        <a:srgbClr val="00B050"/>
                      </a:solidFill>
                    </a:ln>
                    <a:effectLst/>
                  </c:spPr>
                </c:marker>
                <c:xVal>
                  <c:numRef>
                    <c:extLst xmlns:c15="http://schemas.microsoft.com/office/drawing/2012/chart">
                      <c:ext xmlns:c15="http://schemas.microsoft.com/office/drawing/2012/chart" uri="{02D57815-91ED-43cb-92C2-25804820EDAC}">
                        <c15:formulaRef>
                          <c15:sqref>m!$EW$136:$FA$136</c15:sqref>
                        </c15:formulaRef>
                      </c:ext>
                    </c:extLst>
                    <c:numCache>
                      <c:formatCode>General</c:formatCode>
                      <c:ptCount val="5"/>
                      <c:pt idx="0">
                        <c:v>1.275990699224635</c:v>
                      </c:pt>
                      <c:pt idx="1">
                        <c:v>4.2191067315113493</c:v>
                      </c:pt>
                    </c:numCache>
                  </c:numRef>
                </c:xVal>
                <c:yVal>
                  <c:numRef>
                    <c:extLst xmlns:c15="http://schemas.microsoft.com/office/drawing/2012/chart">
                      <c:ext xmlns:c15="http://schemas.microsoft.com/office/drawing/2012/chart" uri="{02D57815-91ED-43cb-92C2-25804820EDAC}">
                        <c15:formulaRef>
                          <c15:sqref>m!$EW$145:$FA$145</c15:sqref>
                        </c15:formulaRef>
                      </c:ext>
                    </c:extLst>
                    <c:numCache>
                      <c:formatCode>General</c:formatCode>
                      <c:ptCount val="5"/>
                      <c:pt idx="0">
                        <c:v>1.3288504775923112E-9</c:v>
                      </c:pt>
                      <c:pt idx="1">
                        <c:v>1.6138276642004433E-9</c:v>
                      </c:pt>
                    </c:numCache>
                  </c:numRef>
                </c:yVal>
                <c:smooth val="0"/>
                <c:extLst xmlns:c15="http://schemas.microsoft.com/office/drawing/2012/chart">
                  <c:ext xmlns:c16="http://schemas.microsoft.com/office/drawing/2014/chart" uri="{C3380CC4-5D6E-409C-BE32-E72D297353CC}">
                    <c16:uniqueId val="{00000015-7153-460E-B6C6-235DD5436A87}"/>
                  </c:ext>
                </c:extLst>
              </c15:ser>
            </c15:filteredScatterSeries>
            <c15:filteredScatterSeries>
              <c15:ser>
                <c:idx val="22"/>
                <c:order val="19"/>
                <c:tx>
                  <c:v>CF, Pipe 3, 95% straked</c:v>
                </c:tx>
                <c:spPr>
                  <a:ln w="25400" cap="rnd">
                    <a:noFill/>
                    <a:round/>
                  </a:ln>
                  <a:effectLst/>
                </c:spPr>
                <c:marker>
                  <c:symbol val="square"/>
                  <c:size val="7"/>
                  <c:spPr>
                    <a:solidFill>
                      <a:srgbClr val="00B0F0"/>
                    </a:solidFill>
                    <a:ln w="9525">
                      <a:solidFill>
                        <a:srgbClr val="00B0F0"/>
                      </a:solidFill>
                    </a:ln>
                    <a:effectLst/>
                  </c:spPr>
                </c:marker>
                <c:xVal>
                  <c:numRef>
                    <c:extLst xmlns:c15="http://schemas.microsoft.com/office/drawing/2012/chart">
                      <c:ext xmlns:c15="http://schemas.microsoft.com/office/drawing/2012/chart" uri="{02D57815-91ED-43cb-92C2-25804820EDAC}">
                        <c15:formulaRef>
                          <c15:sqref>m!$ER$136:$EV$136</c15:sqref>
                        </c15:formulaRef>
                      </c:ext>
                    </c:extLst>
                    <c:numCache>
                      <c:formatCode>General</c:formatCode>
                      <c:ptCount val="5"/>
                      <c:pt idx="0">
                        <c:v>1.1585549834018851</c:v>
                      </c:pt>
                      <c:pt idx="1">
                        <c:v>5.4851641724022757</c:v>
                      </c:pt>
                    </c:numCache>
                  </c:numRef>
                </c:xVal>
                <c:yVal>
                  <c:numRef>
                    <c:extLst xmlns:c15="http://schemas.microsoft.com/office/drawing/2012/chart">
                      <c:ext xmlns:c15="http://schemas.microsoft.com/office/drawing/2012/chart" uri="{02D57815-91ED-43cb-92C2-25804820EDAC}">
                        <c15:formulaRef>
                          <c15:sqref>m!$ER$144:$EV$144</c15:sqref>
                        </c15:formulaRef>
                      </c:ext>
                    </c:extLst>
                    <c:numCache>
                      <c:formatCode>General</c:formatCode>
                      <c:ptCount val="5"/>
                      <c:pt idx="0">
                        <c:v>1.5495002279065027E-9</c:v>
                      </c:pt>
                      <c:pt idx="1">
                        <c:v>2.0890858886504666E-7</c:v>
                      </c:pt>
                    </c:numCache>
                  </c:numRef>
                </c:yVal>
                <c:smooth val="0"/>
                <c:extLst xmlns:c15="http://schemas.microsoft.com/office/drawing/2012/chart">
                  <c:ext xmlns:c16="http://schemas.microsoft.com/office/drawing/2014/chart" uri="{C3380CC4-5D6E-409C-BE32-E72D297353CC}">
                    <c16:uniqueId val="{00000016-7153-460E-B6C6-235DD5436A87}"/>
                  </c:ext>
                </c:extLst>
              </c15:ser>
            </c15:filteredScatterSeries>
            <c15:filteredScatterSeries>
              <c15:ser>
                <c:idx val="23"/>
                <c:order val="20"/>
                <c:tx>
                  <c:v>IL, Pipe 3, 95% straked</c:v>
                </c:tx>
                <c:spPr>
                  <a:ln w="25400" cap="rnd">
                    <a:noFill/>
                    <a:round/>
                  </a:ln>
                  <a:effectLst/>
                </c:spPr>
                <c:marker>
                  <c:symbol val="circle"/>
                  <c:size val="7"/>
                  <c:spPr>
                    <a:solidFill>
                      <a:srgbClr val="00B0F0"/>
                    </a:solidFill>
                    <a:ln w="9525">
                      <a:solidFill>
                        <a:srgbClr val="00B0F0"/>
                      </a:solidFill>
                    </a:ln>
                    <a:effectLst/>
                  </c:spPr>
                </c:marker>
                <c:xVal>
                  <c:numRef>
                    <c:extLst xmlns:c15="http://schemas.microsoft.com/office/drawing/2012/chart">
                      <c:ext xmlns:c15="http://schemas.microsoft.com/office/drawing/2012/chart" uri="{02D57815-91ED-43cb-92C2-25804820EDAC}">
                        <c15:formulaRef>
                          <c15:sqref>m!$ER$136:$EV$136</c15:sqref>
                        </c15:formulaRef>
                      </c:ext>
                    </c:extLst>
                    <c:numCache>
                      <c:formatCode>General</c:formatCode>
                      <c:ptCount val="5"/>
                      <c:pt idx="0">
                        <c:v>1.1585549834018851</c:v>
                      </c:pt>
                      <c:pt idx="1">
                        <c:v>5.4851641724022757</c:v>
                      </c:pt>
                    </c:numCache>
                  </c:numRef>
                </c:xVal>
                <c:yVal>
                  <c:numRef>
                    <c:extLst xmlns:c15="http://schemas.microsoft.com/office/drawing/2012/chart">
                      <c:ext xmlns:c15="http://schemas.microsoft.com/office/drawing/2012/chart" uri="{02D57815-91ED-43cb-92C2-25804820EDAC}">
                        <c15:formulaRef>
                          <c15:sqref>m!$ER$145:$EV$145</c15:sqref>
                        </c15:formulaRef>
                      </c:ext>
                    </c:extLst>
                    <c:numCache>
                      <c:formatCode>General</c:formatCode>
                      <c:ptCount val="5"/>
                      <c:pt idx="0">
                        <c:v>1.0470725627886784E-9</c:v>
                      </c:pt>
                      <c:pt idx="1">
                        <c:v>7.3283937121966262E-10</c:v>
                      </c:pt>
                    </c:numCache>
                  </c:numRef>
                </c:yVal>
                <c:smooth val="0"/>
                <c:extLst xmlns:c15="http://schemas.microsoft.com/office/drawing/2012/chart">
                  <c:ext xmlns:c16="http://schemas.microsoft.com/office/drawing/2014/chart" uri="{C3380CC4-5D6E-409C-BE32-E72D297353CC}">
                    <c16:uniqueId val="{00000017-7153-460E-B6C6-235DD5436A87}"/>
                  </c:ext>
                </c:extLst>
              </c15:ser>
            </c15:filteredScatterSeries>
            <c15:filteredScatterSeries>
              <c15:ser>
                <c:idx val="24"/>
                <c:order val="21"/>
                <c:tx>
                  <c:v>CF, Pipe 3, 99% straked</c:v>
                </c:tx>
                <c:spPr>
                  <a:ln w="25400" cap="rnd">
                    <a:noFill/>
                    <a:round/>
                  </a:ln>
                  <a:effectLst/>
                </c:spPr>
                <c:marker>
                  <c:symbol val="square"/>
                  <c:size val="7"/>
                  <c:spPr>
                    <a:solidFill>
                      <a:srgbClr val="002060"/>
                    </a:solidFill>
                    <a:ln w="9525">
                      <a:solidFill>
                        <a:schemeClr val="accent1">
                          <a:lumMod val="60000"/>
                          <a:lumOff val="40000"/>
                        </a:schemeClr>
                      </a:solidFill>
                    </a:ln>
                    <a:effectLst/>
                  </c:spPr>
                </c:marker>
                <c:xVal>
                  <c:numRef>
                    <c:extLst xmlns:c15="http://schemas.microsoft.com/office/drawing/2012/chart">
                      <c:ext xmlns:c15="http://schemas.microsoft.com/office/drawing/2012/chart" uri="{02D57815-91ED-43cb-92C2-25804820EDAC}">
                        <c15:formulaRef>
                          <c15:sqref>m!$EM$136:$EQ$136</c15:sqref>
                        </c15:formulaRef>
                      </c:ext>
                    </c:extLst>
                    <c:numCache>
                      <c:formatCode>General</c:formatCode>
                      <c:ptCount val="5"/>
                      <c:pt idx="0">
                        <c:v>1.3105581476521337</c:v>
                      </c:pt>
                      <c:pt idx="1">
                        <c:v>4.4152380023408355</c:v>
                      </c:pt>
                    </c:numCache>
                  </c:numRef>
                </c:xVal>
                <c:yVal>
                  <c:numRef>
                    <c:extLst xmlns:c15="http://schemas.microsoft.com/office/drawing/2012/chart">
                      <c:ext xmlns:c15="http://schemas.microsoft.com/office/drawing/2012/chart" uri="{02D57815-91ED-43cb-92C2-25804820EDAC}">
                        <c15:formulaRef>
                          <c15:sqref>m!$EM$144:$EQ$144</c15:sqref>
                        </c15:formulaRef>
                      </c:ext>
                    </c:extLst>
                    <c:numCache>
                      <c:formatCode>General</c:formatCode>
                      <c:ptCount val="5"/>
                      <c:pt idx="0">
                        <c:v>2.2258545426291163E-9</c:v>
                      </c:pt>
                      <c:pt idx="1">
                        <c:v>3.9610158665135103E-9</c:v>
                      </c:pt>
                    </c:numCache>
                  </c:numRef>
                </c:yVal>
                <c:smooth val="0"/>
                <c:extLst xmlns:c15="http://schemas.microsoft.com/office/drawing/2012/chart">
                  <c:ext xmlns:c16="http://schemas.microsoft.com/office/drawing/2014/chart" uri="{C3380CC4-5D6E-409C-BE32-E72D297353CC}">
                    <c16:uniqueId val="{00000018-7153-460E-B6C6-235DD5436A87}"/>
                  </c:ext>
                </c:extLst>
              </c15:ser>
            </c15:filteredScatterSeries>
            <c15:filteredScatterSeries>
              <c15:ser>
                <c:idx val="25"/>
                <c:order val="22"/>
                <c:tx>
                  <c:v>IL, Pipe 3, 99% straked</c:v>
                </c:tx>
                <c:spPr>
                  <a:ln w="25400" cap="rnd">
                    <a:noFill/>
                    <a:round/>
                  </a:ln>
                  <a:effectLst/>
                </c:spPr>
                <c:marker>
                  <c:symbol val="circle"/>
                  <c:size val="7"/>
                  <c:spPr>
                    <a:solidFill>
                      <a:srgbClr val="002060"/>
                    </a:solidFill>
                    <a:ln w="9525">
                      <a:solidFill>
                        <a:srgbClr val="002060"/>
                      </a:solidFill>
                    </a:ln>
                    <a:effectLst/>
                  </c:spPr>
                </c:marker>
                <c:xVal>
                  <c:numRef>
                    <c:extLst xmlns:c15="http://schemas.microsoft.com/office/drawing/2012/chart">
                      <c:ext xmlns:c15="http://schemas.microsoft.com/office/drawing/2012/chart" uri="{02D57815-91ED-43cb-92C2-25804820EDAC}">
                        <c15:formulaRef>
                          <c15:sqref>m!$EM$136:$EQ$136</c15:sqref>
                        </c15:formulaRef>
                      </c:ext>
                    </c:extLst>
                    <c:numCache>
                      <c:formatCode>General</c:formatCode>
                      <c:ptCount val="5"/>
                      <c:pt idx="0">
                        <c:v>1.3105581476521337</c:v>
                      </c:pt>
                      <c:pt idx="1">
                        <c:v>4.4152380023408355</c:v>
                      </c:pt>
                    </c:numCache>
                  </c:numRef>
                </c:xVal>
                <c:yVal>
                  <c:numRef>
                    <c:extLst xmlns:c15="http://schemas.microsoft.com/office/drawing/2012/chart">
                      <c:ext xmlns:c15="http://schemas.microsoft.com/office/drawing/2012/chart" uri="{02D57815-91ED-43cb-92C2-25804820EDAC}">
                        <c15:formulaRef>
                          <c15:sqref>m!$EM$145:$EQ$145</c15:sqref>
                        </c15:formulaRef>
                      </c:ext>
                    </c:extLst>
                    <c:numCache>
                      <c:formatCode>General</c:formatCode>
                      <c:ptCount val="5"/>
                      <c:pt idx="0">
                        <c:v>9.8992244701818531E-10</c:v>
                      </c:pt>
                      <c:pt idx="1">
                        <c:v>2.9793051300996812E-9</c:v>
                      </c:pt>
                    </c:numCache>
                  </c:numRef>
                </c:yVal>
                <c:smooth val="0"/>
                <c:extLst xmlns:c15="http://schemas.microsoft.com/office/drawing/2012/chart">
                  <c:ext xmlns:c16="http://schemas.microsoft.com/office/drawing/2014/chart" uri="{C3380CC4-5D6E-409C-BE32-E72D297353CC}">
                    <c16:uniqueId val="{00000019-7153-460E-B6C6-235DD5436A87}"/>
                  </c:ext>
                </c:extLst>
              </c15:ser>
            </c15:filteredScatterSeries>
          </c:ext>
        </c:extLst>
      </c:scatterChart>
      <c:valAx>
        <c:axId val="624399680"/>
        <c:scaling>
          <c:logBase val="10"/>
          <c:orientation val="minMax"/>
          <c:max val="10"/>
          <c:min val="0.1"/>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Current Velocity</a:t>
                </a:r>
                <a:r>
                  <a:rPr lang="en-US" sz="1800" baseline="0">
                    <a:effectLst/>
                  </a:rPr>
                  <a:t> (m/s)</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At val="1.0000000000000007E-13"/>
        <c:crossBetween val="midCat"/>
      </c:valAx>
      <c:valAx>
        <c:axId val="624400008"/>
        <c:scaling>
          <c:logBase val="10"/>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a:effectLst/>
                  </a:rPr>
                  <a:t>Fatigue Damage Rate (1/s)</a:t>
                </a:r>
              </a:p>
            </c:rich>
          </c:tx>
          <c:layout>
            <c:manualLayout>
              <c:xMode val="edge"/>
              <c:yMode val="edge"/>
              <c:x val="1.5012948089335246E-2"/>
              <c:y val="0.3132477884708855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At val="0.1"/>
        <c:crossBetween val="midCat"/>
      </c:valAx>
      <c:spPr>
        <a:noFill/>
        <a:ln w="12700">
          <a:solidFill>
            <a:srgbClr val="808080"/>
          </a:solidFill>
          <a:prstDash val="solid"/>
        </a:ln>
        <a:effectLst/>
      </c:spPr>
    </c:plotArea>
    <c:legend>
      <c:legendPos val="r"/>
      <c:layout>
        <c:manualLayout>
          <c:xMode val="edge"/>
          <c:yMode val="edge"/>
          <c:x val="0.1743493893100192"/>
          <c:y val="6.6727986435323891E-2"/>
          <c:w val="0.21734806994985986"/>
          <c:h val="0.51255969072242036"/>
        </c:manualLayout>
      </c:layout>
      <c:overlay val="0"/>
      <c:spPr>
        <a:solidFill>
          <a:sysClr val="window" lastClr="FFFFFF">
            <a:lumMod val="100000"/>
          </a:sysClr>
        </a:solidFill>
        <a:ln w="12700">
          <a:solidFill>
            <a:schemeClr val="bg1">
              <a:lumMod val="75000"/>
            </a:schemeClr>
          </a:solidFill>
          <a:prstDash val="solid"/>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b-NO"/>
              <a:t>Static</a:t>
            </a:r>
            <a:r>
              <a:rPr lang="nb-NO" baseline="0"/>
              <a:t> deflection at mid-span</a:t>
            </a:r>
            <a:endParaRPr lang="nb-N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281714785651793"/>
          <c:y val="0.17171296296296296"/>
          <c:w val="0.84125153105861772"/>
          <c:h val="0.62271617089530473"/>
        </c:manualLayout>
      </c:layout>
      <c:scatterChart>
        <c:scatterStyle val="smoothMarker"/>
        <c:varyColors val="0"/>
        <c:ser>
          <c:idx val="1"/>
          <c:order val="0"/>
          <c:tx>
            <c:v>Vertical</c:v>
          </c:tx>
          <c:spPr>
            <a:ln w="19050" cap="rnd">
              <a:solidFill>
                <a:schemeClr val="accent1"/>
              </a:solidFill>
              <a:round/>
            </a:ln>
            <a:effectLst/>
          </c:spPr>
          <c:marker>
            <c:symbol val="none"/>
          </c:marker>
          <c:xVal>
            <c:numRef>
              <c:f>VIVANA_res!$I$3:$I$20</c:f>
              <c:numCache>
                <c:formatCode>General</c:formatCode>
                <c:ptCount val="18"/>
                <c:pt idx="0">
                  <c:v>0.60281476301413028</c:v>
                </c:pt>
                <c:pt idx="1">
                  <c:v>1.0013523954863526</c:v>
                </c:pt>
                <c:pt idx="2">
                  <c:v>1.5519544609164551</c:v>
                </c:pt>
                <c:pt idx="3">
                  <c:v>2.0080465492169632</c:v>
                </c:pt>
                <c:pt idx="4">
                  <c:v>2.5099553283107761</c:v>
                </c:pt>
                <c:pt idx="5">
                  <c:v>2.9601023770646941</c:v>
                </c:pt>
                <c:pt idx="6">
                  <c:v>3.4821561394951028</c:v>
                </c:pt>
                <c:pt idx="7">
                  <c:v>4.0695927376681276</c:v>
                </c:pt>
                <c:pt idx="8">
                  <c:v>4.535563715395309</c:v>
                </c:pt>
                <c:pt idx="9">
                  <c:v>5.0728775903620189</c:v>
                </c:pt>
                <c:pt idx="10">
                  <c:v>6.0098742540054682</c:v>
                </c:pt>
                <c:pt idx="11">
                  <c:v>6.4999083797598081</c:v>
                </c:pt>
                <c:pt idx="12">
                  <c:v>6.97760993543063</c:v>
                </c:pt>
                <c:pt idx="13">
                  <c:v>7.5212565313209341</c:v>
                </c:pt>
                <c:pt idx="14">
                  <c:v>8.0518941247170073</c:v>
                </c:pt>
                <c:pt idx="15">
                  <c:v>8.4974754066869398</c:v>
                </c:pt>
                <c:pt idx="16">
                  <c:v>9.0075808218821223</c:v>
                </c:pt>
                <c:pt idx="17">
                  <c:v>9.9999999973481977</c:v>
                </c:pt>
              </c:numCache>
            </c:numRef>
          </c:xVal>
          <c:yVal>
            <c:numRef>
              <c:f>VIVANA_res!$N$3:$N$20</c:f>
              <c:numCache>
                <c:formatCode>General</c:formatCode>
                <c:ptCount val="18"/>
                <c:pt idx="0">
                  <c:v>2.1299999999999955</c:v>
                </c:pt>
                <c:pt idx="1">
                  <c:v>1.9200000000000159</c:v>
                </c:pt>
                <c:pt idx="2">
                  <c:v>1.3799999999999955</c:v>
                </c:pt>
                <c:pt idx="3">
                  <c:v>1.0099999999999909</c:v>
                </c:pt>
                <c:pt idx="4">
                  <c:v>0.74000000000000909</c:v>
                </c:pt>
                <c:pt idx="5">
                  <c:v>0.58999999999997499</c:v>
                </c:pt>
                <c:pt idx="6">
                  <c:v>0.47000000000002728</c:v>
                </c:pt>
                <c:pt idx="7">
                  <c:v>0.37000000000000455</c:v>
                </c:pt>
                <c:pt idx="8">
                  <c:v>0.31999999999999318</c:v>
                </c:pt>
                <c:pt idx="9">
                  <c:v>0.26999999999998181</c:v>
                </c:pt>
                <c:pt idx="10">
                  <c:v>0.22000000000002728</c:v>
                </c:pt>
                <c:pt idx="11">
                  <c:v>0.18999999999999773</c:v>
                </c:pt>
                <c:pt idx="12">
                  <c:v>0.17000000000001592</c:v>
                </c:pt>
                <c:pt idx="13">
                  <c:v>0.16000000000002501</c:v>
                </c:pt>
                <c:pt idx="14">
                  <c:v>0.13999999999998636</c:v>
                </c:pt>
                <c:pt idx="15">
                  <c:v>0.12999999999999545</c:v>
                </c:pt>
                <c:pt idx="16">
                  <c:v>0.12000000000000455</c:v>
                </c:pt>
                <c:pt idx="17">
                  <c:v>0.11000000000001364</c:v>
                </c:pt>
              </c:numCache>
            </c:numRef>
          </c:yVal>
          <c:smooth val="1"/>
          <c:extLst>
            <c:ext xmlns:c16="http://schemas.microsoft.com/office/drawing/2014/chart" uri="{C3380CC4-5D6E-409C-BE32-E72D297353CC}">
              <c16:uniqueId val="{00000001-A97E-4CE3-B79E-4CA79D316D6F}"/>
            </c:ext>
          </c:extLst>
        </c:ser>
        <c:ser>
          <c:idx val="0"/>
          <c:order val="1"/>
          <c:tx>
            <c:v>Horizontal</c:v>
          </c:tx>
          <c:spPr>
            <a:ln w="19050" cap="rnd">
              <a:solidFill>
                <a:schemeClr val="accent2"/>
              </a:solidFill>
              <a:round/>
            </a:ln>
            <a:effectLst/>
          </c:spPr>
          <c:marker>
            <c:symbol val="none"/>
          </c:marker>
          <c:xVal>
            <c:numRef>
              <c:f>VIVANA_res!$I$3:$I$20</c:f>
              <c:numCache>
                <c:formatCode>General</c:formatCode>
                <c:ptCount val="18"/>
                <c:pt idx="0">
                  <c:v>0.60281476301413028</c:v>
                </c:pt>
                <c:pt idx="1">
                  <c:v>1.0013523954863526</c:v>
                </c:pt>
                <c:pt idx="2">
                  <c:v>1.5519544609164551</c:v>
                </c:pt>
                <c:pt idx="3">
                  <c:v>2.0080465492169632</c:v>
                </c:pt>
                <c:pt idx="4">
                  <c:v>2.5099553283107761</c:v>
                </c:pt>
                <c:pt idx="5">
                  <c:v>2.9601023770646941</c:v>
                </c:pt>
                <c:pt idx="6">
                  <c:v>3.4821561394951028</c:v>
                </c:pt>
                <c:pt idx="7">
                  <c:v>4.0695927376681276</c:v>
                </c:pt>
                <c:pt idx="8">
                  <c:v>4.535563715395309</c:v>
                </c:pt>
                <c:pt idx="9">
                  <c:v>5.0728775903620189</c:v>
                </c:pt>
                <c:pt idx="10">
                  <c:v>6.0098742540054682</c:v>
                </c:pt>
                <c:pt idx="11">
                  <c:v>6.4999083797598081</c:v>
                </c:pt>
                <c:pt idx="12">
                  <c:v>6.97760993543063</c:v>
                </c:pt>
                <c:pt idx="13">
                  <c:v>7.5212565313209341</c:v>
                </c:pt>
                <c:pt idx="14">
                  <c:v>8.0518941247170073</c:v>
                </c:pt>
                <c:pt idx="15">
                  <c:v>8.4974754066869398</c:v>
                </c:pt>
                <c:pt idx="16">
                  <c:v>9.0075808218821223</c:v>
                </c:pt>
                <c:pt idx="17">
                  <c:v>9.9999999973481977</c:v>
                </c:pt>
              </c:numCache>
            </c:numRef>
          </c:xVal>
          <c:yVal>
            <c:numRef>
              <c:f>VIVANA_res!$L$3:$L$20</c:f>
              <c:numCache>
                <c:formatCode>General</c:formatCode>
                <c:ptCount val="18"/>
                <c:pt idx="0">
                  <c:v>0.48683999999999999</c:v>
                </c:pt>
                <c:pt idx="1">
                  <c:v>1.2073</c:v>
                </c:pt>
                <c:pt idx="2">
                  <c:v>2.0878999999999999</c:v>
                </c:pt>
                <c:pt idx="3">
                  <c:v>2.5590000000000002</c:v>
                </c:pt>
                <c:pt idx="4">
                  <c:v>2.9443000000000001</c:v>
                </c:pt>
                <c:pt idx="5">
                  <c:v>3.2397</c:v>
                </c:pt>
                <c:pt idx="6">
                  <c:v>3.5535999999999999</c:v>
                </c:pt>
                <c:pt idx="7">
                  <c:v>3.8851</c:v>
                </c:pt>
                <c:pt idx="8">
                  <c:v>4.1364000000000001</c:v>
                </c:pt>
                <c:pt idx="9">
                  <c:v>4.4160000000000004</c:v>
                </c:pt>
                <c:pt idx="10">
                  <c:v>4.8822000000000001</c:v>
                </c:pt>
                <c:pt idx="11">
                  <c:v>5.1166999999999998</c:v>
                </c:pt>
                <c:pt idx="12">
                  <c:v>5.3396999999999997</c:v>
                </c:pt>
                <c:pt idx="13" formatCode="0.00E+00">
                  <c:v>5.5873999999999997</c:v>
                </c:pt>
                <c:pt idx="14" formatCode="0.00E+00">
                  <c:v>5.8232999999999997</c:v>
                </c:pt>
                <c:pt idx="15" formatCode="0.00E+00">
                  <c:v>6.0172999999999996</c:v>
                </c:pt>
                <c:pt idx="16">
                  <c:v>6.2350000000000003</c:v>
                </c:pt>
                <c:pt idx="17">
                  <c:v>6.6463000000000001</c:v>
                </c:pt>
              </c:numCache>
            </c:numRef>
          </c:yVal>
          <c:smooth val="1"/>
          <c:extLst>
            <c:ext xmlns:c16="http://schemas.microsoft.com/office/drawing/2014/chart" uri="{C3380CC4-5D6E-409C-BE32-E72D297353CC}">
              <c16:uniqueId val="{00000000-A97E-4CE3-B79E-4CA79D316D6F}"/>
            </c:ext>
          </c:extLst>
        </c:ser>
        <c:ser>
          <c:idx val="2"/>
          <c:order val="2"/>
          <c:tx>
            <c:v>Vert. Vivana</c:v>
          </c:tx>
          <c:spPr>
            <a:ln w="19050" cap="rnd">
              <a:solidFill>
                <a:schemeClr val="accent3"/>
              </a:solidFill>
              <a:prstDash val="dash"/>
              <a:round/>
            </a:ln>
            <a:effectLst/>
          </c:spPr>
          <c:marker>
            <c:symbol val="none"/>
          </c:marker>
          <c:xVal>
            <c:numRef>
              <c:f>VIVANA_res!$I$3:$I$20</c:f>
              <c:numCache>
                <c:formatCode>General</c:formatCode>
                <c:ptCount val="18"/>
                <c:pt idx="0">
                  <c:v>0.60281476301413028</c:v>
                </c:pt>
                <c:pt idx="1">
                  <c:v>1.0013523954863526</c:v>
                </c:pt>
                <c:pt idx="2">
                  <c:v>1.5519544609164551</c:v>
                </c:pt>
                <c:pt idx="3">
                  <c:v>2.0080465492169632</c:v>
                </c:pt>
                <c:pt idx="4">
                  <c:v>2.5099553283107761</c:v>
                </c:pt>
                <c:pt idx="5">
                  <c:v>2.9601023770646941</c:v>
                </c:pt>
                <c:pt idx="6">
                  <c:v>3.4821561394951028</c:v>
                </c:pt>
                <c:pt idx="7">
                  <c:v>4.0695927376681276</c:v>
                </c:pt>
                <c:pt idx="8">
                  <c:v>4.535563715395309</c:v>
                </c:pt>
                <c:pt idx="9">
                  <c:v>5.0728775903620189</c:v>
                </c:pt>
                <c:pt idx="10">
                  <c:v>6.0098742540054682</c:v>
                </c:pt>
                <c:pt idx="11">
                  <c:v>6.4999083797598081</c:v>
                </c:pt>
                <c:pt idx="12">
                  <c:v>6.97760993543063</c:v>
                </c:pt>
                <c:pt idx="13">
                  <c:v>7.5212565313209341</c:v>
                </c:pt>
                <c:pt idx="14">
                  <c:v>8.0518941247170073</c:v>
                </c:pt>
                <c:pt idx="15">
                  <c:v>8.4974754066869398</c:v>
                </c:pt>
                <c:pt idx="16">
                  <c:v>9.0075808218821223</c:v>
                </c:pt>
                <c:pt idx="17">
                  <c:v>9.9999999973481977</c:v>
                </c:pt>
              </c:numCache>
            </c:numRef>
          </c:xVal>
          <c:yVal>
            <c:numRef>
              <c:f>VIVANA_res!$N$3:$N$20</c:f>
              <c:numCache>
                <c:formatCode>General</c:formatCode>
                <c:ptCount val="18"/>
                <c:pt idx="0">
                  <c:v>2.1299999999999955</c:v>
                </c:pt>
                <c:pt idx="1">
                  <c:v>1.9200000000000159</c:v>
                </c:pt>
                <c:pt idx="2">
                  <c:v>1.3799999999999955</c:v>
                </c:pt>
                <c:pt idx="3">
                  <c:v>1.0099999999999909</c:v>
                </c:pt>
                <c:pt idx="4">
                  <c:v>0.74000000000000909</c:v>
                </c:pt>
                <c:pt idx="5">
                  <c:v>0.58999999999997499</c:v>
                </c:pt>
                <c:pt idx="6">
                  <c:v>0.47000000000002728</c:v>
                </c:pt>
                <c:pt idx="7">
                  <c:v>0.37000000000000455</c:v>
                </c:pt>
                <c:pt idx="8">
                  <c:v>0.31999999999999318</c:v>
                </c:pt>
                <c:pt idx="9">
                  <c:v>0.26999999999998181</c:v>
                </c:pt>
                <c:pt idx="10">
                  <c:v>0.22000000000002728</c:v>
                </c:pt>
                <c:pt idx="11">
                  <c:v>0.18999999999999773</c:v>
                </c:pt>
                <c:pt idx="12">
                  <c:v>0.17000000000001592</c:v>
                </c:pt>
                <c:pt idx="13">
                  <c:v>0.16000000000002501</c:v>
                </c:pt>
                <c:pt idx="14">
                  <c:v>0.13999999999998636</c:v>
                </c:pt>
                <c:pt idx="15">
                  <c:v>0.12999999999999545</c:v>
                </c:pt>
                <c:pt idx="16">
                  <c:v>0.12000000000000455</c:v>
                </c:pt>
                <c:pt idx="17">
                  <c:v>0.11000000000001364</c:v>
                </c:pt>
              </c:numCache>
            </c:numRef>
          </c:yVal>
          <c:smooth val="1"/>
          <c:extLst>
            <c:ext xmlns:c16="http://schemas.microsoft.com/office/drawing/2014/chart" uri="{C3380CC4-5D6E-409C-BE32-E72D297353CC}">
              <c16:uniqueId val="{00000000-AB48-49C4-8700-EA28C2728ACC}"/>
            </c:ext>
          </c:extLst>
        </c:ser>
        <c:ser>
          <c:idx val="3"/>
          <c:order val="3"/>
          <c:tx>
            <c:v>Horiz. Vivana</c:v>
          </c:tx>
          <c:spPr>
            <a:ln w="15875" cap="rnd">
              <a:solidFill>
                <a:schemeClr val="tx1"/>
              </a:solidFill>
              <a:prstDash val="sysDash"/>
              <a:round/>
            </a:ln>
            <a:effectLst/>
          </c:spPr>
          <c:marker>
            <c:symbol val="none"/>
          </c:marker>
          <c:xVal>
            <c:numRef>
              <c:f>VIVANA_res!$I$3:$I$20</c:f>
              <c:numCache>
                <c:formatCode>General</c:formatCode>
                <c:ptCount val="18"/>
                <c:pt idx="0">
                  <c:v>0.60281476301413028</c:v>
                </c:pt>
                <c:pt idx="1">
                  <c:v>1.0013523954863526</c:v>
                </c:pt>
                <c:pt idx="2">
                  <c:v>1.5519544609164551</c:v>
                </c:pt>
                <c:pt idx="3">
                  <c:v>2.0080465492169632</c:v>
                </c:pt>
                <c:pt idx="4">
                  <c:v>2.5099553283107761</c:v>
                </c:pt>
                <c:pt idx="5">
                  <c:v>2.9601023770646941</c:v>
                </c:pt>
                <c:pt idx="6">
                  <c:v>3.4821561394951028</c:v>
                </c:pt>
                <c:pt idx="7">
                  <c:v>4.0695927376681276</c:v>
                </c:pt>
                <c:pt idx="8">
                  <c:v>4.535563715395309</c:v>
                </c:pt>
                <c:pt idx="9">
                  <c:v>5.0728775903620189</c:v>
                </c:pt>
                <c:pt idx="10">
                  <c:v>6.0098742540054682</c:v>
                </c:pt>
                <c:pt idx="11">
                  <c:v>6.4999083797598081</c:v>
                </c:pt>
                <c:pt idx="12">
                  <c:v>6.97760993543063</c:v>
                </c:pt>
                <c:pt idx="13">
                  <c:v>7.5212565313209341</c:v>
                </c:pt>
                <c:pt idx="14">
                  <c:v>8.0518941247170073</c:v>
                </c:pt>
                <c:pt idx="15">
                  <c:v>8.4974754066869398</c:v>
                </c:pt>
                <c:pt idx="16">
                  <c:v>9.0075808218821223</c:v>
                </c:pt>
                <c:pt idx="17">
                  <c:v>9.9999999973481977</c:v>
                </c:pt>
              </c:numCache>
            </c:numRef>
          </c:xVal>
          <c:yVal>
            <c:numRef>
              <c:f>VIVANA_res!$L$3:$L$20</c:f>
              <c:numCache>
                <c:formatCode>General</c:formatCode>
                <c:ptCount val="18"/>
                <c:pt idx="0">
                  <c:v>0.48683999999999999</c:v>
                </c:pt>
                <c:pt idx="1">
                  <c:v>1.2073</c:v>
                </c:pt>
                <c:pt idx="2">
                  <c:v>2.0878999999999999</c:v>
                </c:pt>
                <c:pt idx="3">
                  <c:v>2.5590000000000002</c:v>
                </c:pt>
                <c:pt idx="4">
                  <c:v>2.9443000000000001</c:v>
                </c:pt>
                <c:pt idx="5">
                  <c:v>3.2397</c:v>
                </c:pt>
                <c:pt idx="6">
                  <c:v>3.5535999999999999</c:v>
                </c:pt>
                <c:pt idx="7">
                  <c:v>3.8851</c:v>
                </c:pt>
                <c:pt idx="8">
                  <c:v>4.1364000000000001</c:v>
                </c:pt>
                <c:pt idx="9">
                  <c:v>4.4160000000000004</c:v>
                </c:pt>
                <c:pt idx="10">
                  <c:v>4.8822000000000001</c:v>
                </c:pt>
                <c:pt idx="11">
                  <c:v>5.1166999999999998</c:v>
                </c:pt>
                <c:pt idx="12">
                  <c:v>5.3396999999999997</c:v>
                </c:pt>
                <c:pt idx="13" formatCode="0.00E+00">
                  <c:v>5.5873999999999997</c:v>
                </c:pt>
                <c:pt idx="14" formatCode="0.00E+00">
                  <c:v>5.8232999999999997</c:v>
                </c:pt>
                <c:pt idx="15" formatCode="0.00E+00">
                  <c:v>6.0172999999999996</c:v>
                </c:pt>
                <c:pt idx="16">
                  <c:v>6.2350000000000003</c:v>
                </c:pt>
                <c:pt idx="17">
                  <c:v>6.6463000000000001</c:v>
                </c:pt>
              </c:numCache>
            </c:numRef>
          </c:yVal>
          <c:smooth val="1"/>
          <c:extLst>
            <c:ext xmlns:c16="http://schemas.microsoft.com/office/drawing/2014/chart" uri="{C3380CC4-5D6E-409C-BE32-E72D297353CC}">
              <c16:uniqueId val="{00000000-2877-485F-BD33-A6FCCC011292}"/>
            </c:ext>
          </c:extLst>
        </c:ser>
        <c:dLbls>
          <c:showLegendKey val="0"/>
          <c:showVal val="0"/>
          <c:showCatName val="0"/>
          <c:showSerName val="0"/>
          <c:showPercent val="0"/>
          <c:showBubbleSize val="0"/>
        </c:dLbls>
        <c:axId val="750509088"/>
        <c:axId val="750511712"/>
      </c:scatterChart>
      <c:valAx>
        <c:axId val="750509088"/>
        <c:scaling>
          <c:orientation val="minMax"/>
          <c:max val="10"/>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b-NO"/>
                  <a:t>Uc (m/s)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0511712"/>
        <c:crosses val="autoZero"/>
        <c:crossBetween val="midCat"/>
      </c:valAx>
      <c:valAx>
        <c:axId val="750511712"/>
        <c:scaling>
          <c:orientation val="minMax"/>
          <c:max val="8"/>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b-NO"/>
                  <a:t>Delfection</a:t>
                </a:r>
                <a:r>
                  <a:rPr lang="nb-NO" baseline="0"/>
                  <a:t> (m)</a:t>
                </a:r>
                <a:endParaRPr lang="nb-NO"/>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0509088"/>
        <c:crosses val="autoZero"/>
        <c:crossBetween val="midCat"/>
      </c:valAx>
      <c:spPr>
        <a:noFill/>
        <a:ln>
          <a:noFill/>
        </a:ln>
        <a:effectLst/>
      </c:spPr>
    </c:plotArea>
    <c:legend>
      <c:legendPos val="r"/>
      <c:layout>
        <c:manualLayout>
          <c:xMode val="edge"/>
          <c:yMode val="edge"/>
          <c:x val="0.15069679040721354"/>
          <c:y val="0.19544074269334041"/>
          <c:w val="0.22854935835506529"/>
          <c:h val="0.323976349608566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Cross Flow</c:v>
          </c:tx>
          <c:spPr>
            <a:ln w="28575" cap="rnd">
              <a:noFill/>
              <a:round/>
            </a:ln>
            <a:effectLst/>
          </c:spPr>
          <c:marker>
            <c:symbol val="x"/>
            <c:size val="7"/>
            <c:spPr>
              <a:noFill/>
              <a:ln w="15875">
                <a:solidFill>
                  <a:schemeClr val="tx1"/>
                </a:solidFill>
              </a:ln>
              <a:effectLst/>
            </c:spPr>
          </c:marker>
          <c:xVal>
            <c:numRef>
              <c:f>m!$AF$86:$EL$86</c:f>
              <c:numCache>
                <c:formatCode>General</c:formatCode>
                <c:ptCount val="111"/>
                <c:pt idx="6">
                  <c:v>2.60569650261762</c:v>
                </c:pt>
                <c:pt idx="7">
                  <c:v>2.8052504067622763</c:v>
                </c:pt>
                <c:pt idx="8">
                  <c:v>2.9780821140943421</c:v>
                </c:pt>
                <c:pt idx="9">
                  <c:v>3.163643721763262</c:v>
                </c:pt>
                <c:pt idx="10">
                  <c:v>1.4268091136433669</c:v>
                </c:pt>
                <c:pt idx="11">
                  <c:v>1.9979105111592506</c:v>
                </c:pt>
                <c:pt idx="12">
                  <c:v>2.8565719045612186</c:v>
                </c:pt>
                <c:pt idx="13">
                  <c:v>3.6140894327455704</c:v>
                </c:pt>
                <c:pt idx="14">
                  <c:v>4.3011107499673757</c:v>
                </c:pt>
                <c:pt idx="16">
                  <c:v>5.3877687842899373</c:v>
                </c:pt>
                <c:pt idx="22">
                  <c:v>7.5190353846908184</c:v>
                </c:pt>
                <c:pt idx="29">
                  <c:v>1.741607828169798</c:v>
                </c:pt>
                <c:pt idx="30">
                  <c:v>2.459126810012223</c:v>
                </c:pt>
                <c:pt idx="31">
                  <c:v>2.026625790993418</c:v>
                </c:pt>
                <c:pt idx="33">
                  <c:v>17.341819199350411</c:v>
                </c:pt>
                <c:pt idx="34">
                  <c:v>25.687502106855938</c:v>
                </c:pt>
                <c:pt idx="36">
                  <c:v>13.822834322851989</c:v>
                </c:pt>
                <c:pt idx="37">
                  <c:v>16.211924073858711</c:v>
                </c:pt>
                <c:pt idx="38">
                  <c:v>18.833363464548963</c:v>
                </c:pt>
                <c:pt idx="39">
                  <c:v>20.63255879519469</c:v>
                </c:pt>
                <c:pt idx="40">
                  <c:v>22.261627350303019</c:v>
                </c:pt>
                <c:pt idx="41">
                  <c:v>23.851132947231889</c:v>
                </c:pt>
                <c:pt idx="42">
                  <c:v>25.606213423191516</c:v>
                </c:pt>
                <c:pt idx="43">
                  <c:v>28.114385319029473</c:v>
                </c:pt>
                <c:pt idx="44">
                  <c:v>29.234215682007001</c:v>
                </c:pt>
                <c:pt idx="45">
                  <c:v>29.788799658082734</c:v>
                </c:pt>
                <c:pt idx="46">
                  <c:v>14.167570151394056</c:v>
                </c:pt>
                <c:pt idx="47">
                  <c:v>23.897422629113926</c:v>
                </c:pt>
                <c:pt idx="48">
                  <c:v>23.98899211959225</c:v>
                </c:pt>
                <c:pt idx="49">
                  <c:v>29.976832891026625</c:v>
                </c:pt>
                <c:pt idx="50">
                  <c:v>30.926427122046618</c:v>
                </c:pt>
                <c:pt idx="51">
                  <c:v>32.179294624129149</c:v>
                </c:pt>
                <c:pt idx="52">
                  <c:v>33.359726870316962</c:v>
                </c:pt>
                <c:pt idx="62">
                  <c:v>5.8661634412927928</c:v>
                </c:pt>
                <c:pt idx="63">
                  <c:v>7.0650060736018858</c:v>
                </c:pt>
                <c:pt idx="64">
                  <c:v>8.1916384448878805</c:v>
                </c:pt>
                <c:pt idx="65">
                  <c:v>8.9443478945078017</c:v>
                </c:pt>
                <c:pt idx="66">
                  <c:v>9.7507690726174143</c:v>
                </c:pt>
                <c:pt idx="67">
                  <c:v>10.622302057822987</c:v>
                </c:pt>
                <c:pt idx="68">
                  <c:v>11.267337261488793</c:v>
                </c:pt>
                <c:pt idx="69">
                  <c:v>11.605785556257139</c:v>
                </c:pt>
                <c:pt idx="70">
                  <c:v>12.072625761854809</c:v>
                </c:pt>
                <c:pt idx="71">
                  <c:v>12.848768541931234</c:v>
                </c:pt>
                <c:pt idx="72">
                  <c:v>13.178523173139359</c:v>
                </c:pt>
                <c:pt idx="73">
                  <c:v>13.704845767474131</c:v>
                </c:pt>
                <c:pt idx="74">
                  <c:v>13.946545832467923</c:v>
                </c:pt>
                <c:pt idx="76">
                  <c:v>14.021906647870745</c:v>
                </c:pt>
                <c:pt idx="77">
                  <c:v>4.8078274145166153</c:v>
                </c:pt>
                <c:pt idx="80">
                  <c:v>15.509495728392983</c:v>
                </c:pt>
                <c:pt idx="81">
                  <c:v>16.226976955639152</c:v>
                </c:pt>
                <c:pt idx="82">
                  <c:v>16.886382007823471</c:v>
                </c:pt>
                <c:pt idx="83">
                  <c:v>17.502223209701484</c:v>
                </c:pt>
                <c:pt idx="84">
                  <c:v>17.98762575710132</c:v>
                </c:pt>
                <c:pt idx="85">
                  <c:v>3.0011205007855488</c:v>
                </c:pt>
                <c:pt idx="86">
                  <c:v>4.4377816690859024</c:v>
                </c:pt>
                <c:pt idx="87">
                  <c:v>3.5901063700284865</c:v>
                </c:pt>
                <c:pt idx="88">
                  <c:v>5.2522795455737761</c:v>
                </c:pt>
                <c:pt idx="89">
                  <c:v>4.1600088468528016</c:v>
                </c:pt>
                <c:pt idx="90">
                  <c:v>16.458823841889224</c:v>
                </c:pt>
                <c:pt idx="91">
                  <c:v>17.506191004392292</c:v>
                </c:pt>
                <c:pt idx="94">
                  <c:v>3.8469075681895233</c:v>
                </c:pt>
                <c:pt idx="97">
                  <c:v>2.0003709939890491</c:v>
                </c:pt>
                <c:pt idx="98">
                  <c:v>3.8766586879127258</c:v>
                </c:pt>
                <c:pt idx="99">
                  <c:v>4.5837433405368522</c:v>
                </c:pt>
                <c:pt idx="100">
                  <c:v>5.1304577550688109</c:v>
                </c:pt>
                <c:pt idx="101">
                  <c:v>5.7590397709015182</c:v>
                </c:pt>
                <c:pt idx="102">
                  <c:v>6.2395208532456854</c:v>
                </c:pt>
                <c:pt idx="103">
                  <c:v>6.6018402256318405</c:v>
                </c:pt>
                <c:pt idx="104">
                  <c:v>7.2050086005337972</c:v>
                </c:pt>
                <c:pt idx="105">
                  <c:v>7.9101900162230576</c:v>
                </c:pt>
                <c:pt idx="107">
                  <c:v>9.3455953693488443</c:v>
                </c:pt>
                <c:pt idx="108">
                  <c:v>9.3393571709898158</c:v>
                </c:pt>
                <c:pt idx="110">
                  <c:v>8.5879630109850904</c:v>
                </c:pt>
              </c:numCache>
            </c:numRef>
          </c:xVal>
          <c:yVal>
            <c:numRef>
              <c:f>m!$AF$90:$EL$90</c:f>
              <c:numCache>
                <c:formatCode>General</c:formatCode>
                <c:ptCount val="111"/>
                <c:pt idx="6">
                  <c:v>5.2324625570429388</c:v>
                </c:pt>
                <c:pt idx="7">
                  <c:v>5.3055824072041231</c:v>
                </c:pt>
                <c:pt idx="8">
                  <c:v>4.655447978393739</c:v>
                </c:pt>
                <c:pt idx="9">
                  <c:v>3.9755921812321118</c:v>
                </c:pt>
                <c:pt idx="10">
                  <c:v>4.062120186477582</c:v>
                </c:pt>
                <c:pt idx="11">
                  <c:v>3.1506997473427294</c:v>
                </c:pt>
                <c:pt idx="12">
                  <c:v>4.1786954227753803</c:v>
                </c:pt>
                <c:pt idx="13">
                  <c:v>4.4375395113080085</c:v>
                </c:pt>
                <c:pt idx="14">
                  <c:v>5.0795365493314559</c:v>
                </c:pt>
                <c:pt idx="16">
                  <c:v>3.7917125475365436</c:v>
                </c:pt>
                <c:pt idx="22">
                  <c:v>4.1255132431082453</c:v>
                </c:pt>
                <c:pt idx="29">
                  <c:v>3.4774946615159275</c:v>
                </c:pt>
                <c:pt idx="30">
                  <c:v>5.0096376560329396</c:v>
                </c:pt>
                <c:pt idx="31">
                  <c:v>3.3211441120706886</c:v>
                </c:pt>
                <c:pt idx="33">
                  <c:v>7.5372228689385867</c:v>
                </c:pt>
                <c:pt idx="34">
                  <c:v>6.7538585466501351</c:v>
                </c:pt>
                <c:pt idx="36">
                  <c:v>6.9085285216317676</c:v>
                </c:pt>
                <c:pt idx="37">
                  <c:v>8.7844808327165307</c:v>
                </c:pt>
                <c:pt idx="38">
                  <c:v>6.8815419584476922</c:v>
                </c:pt>
                <c:pt idx="39">
                  <c:v>7.0835981525221072</c:v>
                </c:pt>
                <c:pt idx="40">
                  <c:v>7.9295325649227948</c:v>
                </c:pt>
                <c:pt idx="41">
                  <c:v>6.7364402255589626</c:v>
                </c:pt>
                <c:pt idx="42">
                  <c:v>6.8873829945396192</c:v>
                </c:pt>
                <c:pt idx="43">
                  <c:v>6.0678848365387212</c:v>
                </c:pt>
                <c:pt idx="44">
                  <c:v>6.1645888533499686</c:v>
                </c:pt>
                <c:pt idx="45">
                  <c:v>5.8693943176476182</c:v>
                </c:pt>
                <c:pt idx="46">
                  <c:v>6.7850434650344518</c:v>
                </c:pt>
                <c:pt idx="47">
                  <c:v>7.2194045444036385</c:v>
                </c:pt>
                <c:pt idx="48">
                  <c:v>6.9426629376466629</c:v>
                </c:pt>
                <c:pt idx="49">
                  <c:v>5.4563023939985182</c:v>
                </c:pt>
                <c:pt idx="50">
                  <c:v>5.65606720316016</c:v>
                </c:pt>
                <c:pt idx="51">
                  <c:v>4.8338479073442899</c:v>
                </c:pt>
                <c:pt idx="52">
                  <c:v>4.8195115261323638</c:v>
                </c:pt>
                <c:pt idx="62">
                  <c:v>5.4193347671040568</c:v>
                </c:pt>
                <c:pt idx="63">
                  <c:v>6.8529805604098808</c:v>
                </c:pt>
                <c:pt idx="64">
                  <c:v>5.4979158235517529</c:v>
                </c:pt>
                <c:pt idx="65">
                  <c:v>7.4502001431439764</c:v>
                </c:pt>
                <c:pt idx="66">
                  <c:v>5.5318021576845782</c:v>
                </c:pt>
                <c:pt idx="67">
                  <c:v>5.5776637333934751</c:v>
                </c:pt>
                <c:pt idx="68">
                  <c:v>5.0590639783537945</c:v>
                </c:pt>
                <c:pt idx="69">
                  <c:v>6.8464682065829958</c:v>
                </c:pt>
                <c:pt idx="70">
                  <c:v>6.6543224390188449</c:v>
                </c:pt>
                <c:pt idx="71">
                  <c:v>5.1683830156398898</c:v>
                </c:pt>
                <c:pt idx="72">
                  <c:v>5.594990588667164</c:v>
                </c:pt>
                <c:pt idx="73">
                  <c:v>5.5691169351975658</c:v>
                </c:pt>
                <c:pt idx="74">
                  <c:v>6.2187642280426072</c:v>
                </c:pt>
                <c:pt idx="76">
                  <c:v>4.7683936504633282</c:v>
                </c:pt>
                <c:pt idx="77">
                  <c:v>6.8398595433096556</c:v>
                </c:pt>
                <c:pt idx="80">
                  <c:v>5.6245015284995121</c:v>
                </c:pt>
                <c:pt idx="81">
                  <c:v>5.8791631689856292</c:v>
                </c:pt>
                <c:pt idx="82">
                  <c:v>5.3497595958873392</c:v>
                </c:pt>
                <c:pt idx="83">
                  <c:v>5.3211634390164555</c:v>
                </c:pt>
                <c:pt idx="84">
                  <c:v>4.9082587245668545</c:v>
                </c:pt>
                <c:pt idx="85">
                  <c:v>8.1975543089896643</c:v>
                </c:pt>
                <c:pt idx="86">
                  <c:v>6.8783018648658745</c:v>
                </c:pt>
                <c:pt idx="87">
                  <c:v>8.0220992916744116</c:v>
                </c:pt>
                <c:pt idx="88">
                  <c:v>7.3674932365542176</c:v>
                </c:pt>
                <c:pt idx="89">
                  <c:v>6.412366602952301</c:v>
                </c:pt>
                <c:pt idx="90">
                  <c:v>4.9936302494679827</c:v>
                </c:pt>
                <c:pt idx="91">
                  <c:v>4.9024993379104069</c:v>
                </c:pt>
                <c:pt idx="94">
                  <c:v>7.7854864960459267</c:v>
                </c:pt>
                <c:pt idx="97">
                  <c:v>9.9126672667002698</c:v>
                </c:pt>
                <c:pt idx="98">
                  <c:v>7.8833702476357796</c:v>
                </c:pt>
                <c:pt idx="99">
                  <c:v>7.4410449669162775</c:v>
                </c:pt>
                <c:pt idx="100">
                  <c:v>8.5277178745003859</c:v>
                </c:pt>
                <c:pt idx="101">
                  <c:v>6.6819444392548633</c:v>
                </c:pt>
                <c:pt idx="102">
                  <c:v>8.1725146024073823</c:v>
                </c:pt>
                <c:pt idx="103">
                  <c:v>7.8396125218769326</c:v>
                </c:pt>
                <c:pt idx="104">
                  <c:v>6.52021451328359</c:v>
                </c:pt>
                <c:pt idx="105">
                  <c:v>8.0022562475030163</c:v>
                </c:pt>
                <c:pt idx="107">
                  <c:v>6.8727735020532252</c:v>
                </c:pt>
                <c:pt idx="108">
                  <c:v>6.7032176997414767</c:v>
                </c:pt>
                <c:pt idx="110">
                  <c:v>6.1343399695379084</c:v>
                </c:pt>
              </c:numCache>
            </c:numRef>
          </c:yVal>
          <c:smooth val="0"/>
          <c:extLst>
            <c:ext xmlns:c16="http://schemas.microsoft.com/office/drawing/2014/chart" uri="{C3380CC4-5D6E-409C-BE32-E72D297353CC}">
              <c16:uniqueId val="{00000000-004E-48F4-A9A7-090255E1FE1C}"/>
            </c:ext>
          </c:extLst>
        </c:ser>
        <c:ser>
          <c:idx val="1"/>
          <c:order val="1"/>
          <c:tx>
            <c:v>In Line</c:v>
          </c:tx>
          <c:spPr>
            <a:ln w="25400" cap="rnd">
              <a:noFill/>
              <a:round/>
            </a:ln>
            <a:effectLst/>
          </c:spPr>
          <c:marker>
            <c:symbol val="circle"/>
            <c:size val="7"/>
            <c:spPr>
              <a:noFill/>
              <a:ln w="15875">
                <a:solidFill>
                  <a:schemeClr val="tx1"/>
                </a:solidFill>
              </a:ln>
              <a:effectLst/>
            </c:spPr>
          </c:marker>
          <c:xVal>
            <c:numRef>
              <c:f>m!$AF$86:$EL$86</c:f>
              <c:numCache>
                <c:formatCode>General</c:formatCode>
                <c:ptCount val="111"/>
                <c:pt idx="6">
                  <c:v>2.60569650261762</c:v>
                </c:pt>
                <c:pt idx="7">
                  <c:v>2.8052504067622763</c:v>
                </c:pt>
                <c:pt idx="8">
                  <c:v>2.9780821140943421</c:v>
                </c:pt>
                <c:pt idx="9">
                  <c:v>3.163643721763262</c:v>
                </c:pt>
                <c:pt idx="10">
                  <c:v>1.4268091136433669</c:v>
                </c:pt>
                <c:pt idx="11">
                  <c:v>1.9979105111592506</c:v>
                </c:pt>
                <c:pt idx="12">
                  <c:v>2.8565719045612186</c:v>
                </c:pt>
                <c:pt idx="13">
                  <c:v>3.6140894327455704</c:v>
                </c:pt>
                <c:pt idx="14">
                  <c:v>4.3011107499673757</c:v>
                </c:pt>
                <c:pt idx="16">
                  <c:v>5.3877687842899373</c:v>
                </c:pt>
                <c:pt idx="22">
                  <c:v>7.5190353846908184</c:v>
                </c:pt>
                <c:pt idx="29">
                  <c:v>1.741607828169798</c:v>
                </c:pt>
                <c:pt idx="30">
                  <c:v>2.459126810012223</c:v>
                </c:pt>
                <c:pt idx="31">
                  <c:v>2.026625790993418</c:v>
                </c:pt>
                <c:pt idx="33">
                  <c:v>17.341819199350411</c:v>
                </c:pt>
                <c:pt idx="34">
                  <c:v>25.687502106855938</c:v>
                </c:pt>
                <c:pt idx="36">
                  <c:v>13.822834322851989</c:v>
                </c:pt>
                <c:pt idx="37">
                  <c:v>16.211924073858711</c:v>
                </c:pt>
                <c:pt idx="38">
                  <c:v>18.833363464548963</c:v>
                </c:pt>
                <c:pt idx="39">
                  <c:v>20.63255879519469</c:v>
                </c:pt>
                <c:pt idx="40">
                  <c:v>22.261627350303019</c:v>
                </c:pt>
                <c:pt idx="41">
                  <c:v>23.851132947231889</c:v>
                </c:pt>
                <c:pt idx="42">
                  <c:v>25.606213423191516</c:v>
                </c:pt>
                <c:pt idx="43">
                  <c:v>28.114385319029473</c:v>
                </c:pt>
                <c:pt idx="44">
                  <c:v>29.234215682007001</c:v>
                </c:pt>
                <c:pt idx="45">
                  <c:v>29.788799658082734</c:v>
                </c:pt>
                <c:pt idx="46">
                  <c:v>14.167570151394056</c:v>
                </c:pt>
                <c:pt idx="47">
                  <c:v>23.897422629113926</c:v>
                </c:pt>
                <c:pt idx="48">
                  <c:v>23.98899211959225</c:v>
                </c:pt>
                <c:pt idx="49">
                  <c:v>29.976832891026625</c:v>
                </c:pt>
                <c:pt idx="50">
                  <c:v>30.926427122046618</c:v>
                </c:pt>
                <c:pt idx="51">
                  <c:v>32.179294624129149</c:v>
                </c:pt>
                <c:pt idx="52">
                  <c:v>33.359726870316962</c:v>
                </c:pt>
                <c:pt idx="62">
                  <c:v>5.8661634412927928</c:v>
                </c:pt>
                <c:pt idx="63">
                  <c:v>7.0650060736018858</c:v>
                </c:pt>
                <c:pt idx="64">
                  <c:v>8.1916384448878805</c:v>
                </c:pt>
                <c:pt idx="65">
                  <c:v>8.9443478945078017</c:v>
                </c:pt>
                <c:pt idx="66">
                  <c:v>9.7507690726174143</c:v>
                </c:pt>
                <c:pt idx="67">
                  <c:v>10.622302057822987</c:v>
                </c:pt>
                <c:pt idx="68">
                  <c:v>11.267337261488793</c:v>
                </c:pt>
                <c:pt idx="69">
                  <c:v>11.605785556257139</c:v>
                </c:pt>
                <c:pt idx="70">
                  <c:v>12.072625761854809</c:v>
                </c:pt>
                <c:pt idx="71">
                  <c:v>12.848768541931234</c:v>
                </c:pt>
                <c:pt idx="72">
                  <c:v>13.178523173139359</c:v>
                </c:pt>
                <c:pt idx="73">
                  <c:v>13.704845767474131</c:v>
                </c:pt>
                <c:pt idx="74">
                  <c:v>13.946545832467923</c:v>
                </c:pt>
                <c:pt idx="76">
                  <c:v>14.021906647870745</c:v>
                </c:pt>
                <c:pt idx="77">
                  <c:v>4.8078274145166153</c:v>
                </c:pt>
                <c:pt idx="80">
                  <c:v>15.509495728392983</c:v>
                </c:pt>
                <c:pt idx="81">
                  <c:v>16.226976955639152</c:v>
                </c:pt>
                <c:pt idx="82">
                  <c:v>16.886382007823471</c:v>
                </c:pt>
                <c:pt idx="83">
                  <c:v>17.502223209701484</c:v>
                </c:pt>
                <c:pt idx="84">
                  <c:v>17.98762575710132</c:v>
                </c:pt>
                <c:pt idx="85">
                  <c:v>3.0011205007855488</c:v>
                </c:pt>
                <c:pt idx="86">
                  <c:v>4.4377816690859024</c:v>
                </c:pt>
                <c:pt idx="87">
                  <c:v>3.5901063700284865</c:v>
                </c:pt>
                <c:pt idx="88">
                  <c:v>5.2522795455737761</c:v>
                </c:pt>
                <c:pt idx="89">
                  <c:v>4.1600088468528016</c:v>
                </c:pt>
                <c:pt idx="90">
                  <c:v>16.458823841889224</c:v>
                </c:pt>
                <c:pt idx="91">
                  <c:v>17.506191004392292</c:v>
                </c:pt>
                <c:pt idx="94">
                  <c:v>3.8469075681895233</c:v>
                </c:pt>
                <c:pt idx="97">
                  <c:v>2.0003709939890491</c:v>
                </c:pt>
                <c:pt idx="98">
                  <c:v>3.8766586879127258</c:v>
                </c:pt>
                <c:pt idx="99">
                  <c:v>4.5837433405368522</c:v>
                </c:pt>
                <c:pt idx="100">
                  <c:v>5.1304577550688109</c:v>
                </c:pt>
                <c:pt idx="101">
                  <c:v>5.7590397709015182</c:v>
                </c:pt>
                <c:pt idx="102">
                  <c:v>6.2395208532456854</c:v>
                </c:pt>
                <c:pt idx="103">
                  <c:v>6.6018402256318405</c:v>
                </c:pt>
                <c:pt idx="104">
                  <c:v>7.2050086005337972</c:v>
                </c:pt>
                <c:pt idx="105">
                  <c:v>7.9101900162230576</c:v>
                </c:pt>
                <c:pt idx="107">
                  <c:v>9.3455953693488443</c:v>
                </c:pt>
                <c:pt idx="108">
                  <c:v>9.3393571709898158</c:v>
                </c:pt>
                <c:pt idx="110">
                  <c:v>8.5879630109850904</c:v>
                </c:pt>
              </c:numCache>
            </c:numRef>
          </c:xVal>
          <c:yVal>
            <c:numRef>
              <c:f>m!$AF$91:$EL$91</c:f>
              <c:numCache>
                <c:formatCode>General</c:formatCode>
                <c:ptCount val="111"/>
                <c:pt idx="6">
                  <c:v>3.9502776072221706</c:v>
                </c:pt>
                <c:pt idx="7">
                  <c:v>3.8204481933278442</c:v>
                </c:pt>
                <c:pt idx="8">
                  <c:v>2.8990463053331168</c:v>
                </c:pt>
                <c:pt idx="9">
                  <c:v>3.0460998559525874</c:v>
                </c:pt>
                <c:pt idx="10">
                  <c:v>3.9015319384578984</c:v>
                </c:pt>
                <c:pt idx="11">
                  <c:v>4.0324241551015083</c:v>
                </c:pt>
                <c:pt idx="12">
                  <c:v>2.4087539710783048</c:v>
                </c:pt>
                <c:pt idx="13">
                  <c:v>2.5988468550675954</c:v>
                </c:pt>
                <c:pt idx="14">
                  <c:v>2.4975377660733624</c:v>
                </c:pt>
                <c:pt idx="16">
                  <c:v>2.4940490859525726</c:v>
                </c:pt>
                <c:pt idx="22">
                  <c:v>2.077389993099553</c:v>
                </c:pt>
                <c:pt idx="29">
                  <c:v>3.887685418105959</c:v>
                </c:pt>
                <c:pt idx="30">
                  <c:v>3.0668865507265997</c:v>
                </c:pt>
                <c:pt idx="31">
                  <c:v>4.0491103337392174</c:v>
                </c:pt>
                <c:pt idx="33">
                  <c:v>5.6967108509424049</c:v>
                </c:pt>
                <c:pt idx="34">
                  <c:v>6.5764190171402976</c:v>
                </c:pt>
                <c:pt idx="36">
                  <c:v>5.968040531828132</c:v>
                </c:pt>
                <c:pt idx="37">
                  <c:v>8.1684741974599575</c:v>
                </c:pt>
                <c:pt idx="38">
                  <c:v>5.8007139352102666</c:v>
                </c:pt>
                <c:pt idx="39">
                  <c:v>6.0918131305765044</c:v>
                </c:pt>
                <c:pt idx="40">
                  <c:v>8.1174980313774423</c:v>
                </c:pt>
                <c:pt idx="41">
                  <c:v>6.4312736308774889</c:v>
                </c:pt>
                <c:pt idx="42">
                  <c:v>6.3480129336212183</c:v>
                </c:pt>
                <c:pt idx="43">
                  <c:v>5.821324467772973</c:v>
                </c:pt>
                <c:pt idx="44">
                  <c:v>5.7088959001580211</c:v>
                </c:pt>
                <c:pt idx="45">
                  <c:v>5.7910267374423983</c:v>
                </c:pt>
                <c:pt idx="46">
                  <c:v>5.7614092633504805</c:v>
                </c:pt>
                <c:pt idx="47">
                  <c:v>7.0551494435079265</c:v>
                </c:pt>
                <c:pt idx="48">
                  <c:v>6.007268732546347</c:v>
                </c:pt>
                <c:pt idx="49">
                  <c:v>5.930704023686789</c:v>
                </c:pt>
                <c:pt idx="50">
                  <c:v>5.5628819216625125</c:v>
                </c:pt>
                <c:pt idx="51">
                  <c:v>5.362533094226932</c:v>
                </c:pt>
                <c:pt idx="52">
                  <c:v>5.2407446165760785</c:v>
                </c:pt>
                <c:pt idx="62">
                  <c:v>4.5300019054238749</c:v>
                </c:pt>
                <c:pt idx="63">
                  <c:v>4.5178025027989275</c:v>
                </c:pt>
                <c:pt idx="64">
                  <c:v>3.3950746364407207</c:v>
                </c:pt>
                <c:pt idx="65">
                  <c:v>5.7763007234186681</c:v>
                </c:pt>
                <c:pt idx="66">
                  <c:v>4.3065710023871615</c:v>
                </c:pt>
                <c:pt idx="67">
                  <c:v>3.8827381995634402</c:v>
                </c:pt>
                <c:pt idx="68">
                  <c:v>3.2487249458002383</c:v>
                </c:pt>
                <c:pt idx="69">
                  <c:v>5.3426987492817899</c:v>
                </c:pt>
                <c:pt idx="70">
                  <c:v>5.6472978874878201</c:v>
                </c:pt>
                <c:pt idx="71">
                  <c:v>4.1587397095032008</c:v>
                </c:pt>
                <c:pt idx="72">
                  <c:v>4.7838482341628046</c:v>
                </c:pt>
                <c:pt idx="73">
                  <c:v>4.9225301746781893</c:v>
                </c:pt>
                <c:pt idx="74">
                  <c:v>4.8966046339725624</c:v>
                </c:pt>
                <c:pt idx="76">
                  <c:v>3.9966525665694972</c:v>
                </c:pt>
                <c:pt idx="77">
                  <c:v>4.6938071324304609</c:v>
                </c:pt>
                <c:pt idx="80">
                  <c:v>5.0267580592225674</c:v>
                </c:pt>
                <c:pt idx="81">
                  <c:v>4.6038320806672992</c:v>
                </c:pt>
                <c:pt idx="82">
                  <c:v>5.2977799679061315</c:v>
                </c:pt>
                <c:pt idx="83">
                  <c:v>4.5548018302270039</c:v>
                </c:pt>
                <c:pt idx="84">
                  <c:v>4.4326497440326262</c:v>
                </c:pt>
                <c:pt idx="85">
                  <c:v>6.7354522978189433</c:v>
                </c:pt>
                <c:pt idx="86">
                  <c:v>5.5850136200566656</c:v>
                </c:pt>
                <c:pt idx="87">
                  <c:v>5.4551141788760695</c:v>
                </c:pt>
                <c:pt idx="88">
                  <c:v>4.9167729735368271</c:v>
                </c:pt>
                <c:pt idx="89">
                  <c:v>4.8519257534729014</c:v>
                </c:pt>
                <c:pt idx="90">
                  <c:v>4.7537157090149353</c:v>
                </c:pt>
                <c:pt idx="91">
                  <c:v>4.327704405636295</c:v>
                </c:pt>
                <c:pt idx="94">
                  <c:v>5.9805420003862961</c:v>
                </c:pt>
                <c:pt idx="97">
                  <c:v>5.9773958684019037</c:v>
                </c:pt>
                <c:pt idx="98">
                  <c:v>5.8402406967730096</c:v>
                </c:pt>
                <c:pt idx="99">
                  <c:v>6.3259605248394033</c:v>
                </c:pt>
                <c:pt idx="100">
                  <c:v>7.7415138100193532</c:v>
                </c:pt>
                <c:pt idx="101">
                  <c:v>6.155654344805801</c:v>
                </c:pt>
                <c:pt idx="102">
                  <c:v>6.1121726207461435</c:v>
                </c:pt>
                <c:pt idx="103">
                  <c:v>6.157519329771306</c:v>
                </c:pt>
                <c:pt idx="104">
                  <c:v>5.4328051641445443</c:v>
                </c:pt>
                <c:pt idx="105">
                  <c:v>6.3578452876193943</c:v>
                </c:pt>
                <c:pt idx="107">
                  <c:v>5.2365612840392179</c:v>
                </c:pt>
                <c:pt idx="108">
                  <c:v>5.1665061144228064</c:v>
                </c:pt>
                <c:pt idx="110">
                  <c:v>5.0320384230931241</c:v>
                </c:pt>
              </c:numCache>
            </c:numRef>
          </c:yVal>
          <c:smooth val="0"/>
          <c:extLst>
            <c:ext xmlns:c16="http://schemas.microsoft.com/office/drawing/2014/chart" uri="{C3380CC4-5D6E-409C-BE32-E72D297353CC}">
              <c16:uniqueId val="{00000001-004E-48F4-A9A7-090255E1FE1C}"/>
            </c:ext>
          </c:extLst>
        </c:ser>
        <c:dLbls>
          <c:showLegendKey val="0"/>
          <c:showVal val="0"/>
          <c:showCatName val="0"/>
          <c:showSerName val="0"/>
          <c:showPercent val="0"/>
          <c:showBubbleSize val="0"/>
        </c:dLbls>
        <c:axId val="624399680"/>
        <c:axId val="624400008"/>
      </c:scatterChart>
      <c:valAx>
        <c:axId val="624399680"/>
        <c:scaling>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Normalized Span Length, L̃ = L/L</a:t>
                </a:r>
                <a:r>
                  <a:rPr lang="en-US" sz="1800" baseline="-25000">
                    <a:effectLst/>
                  </a:rPr>
                  <a:t>st</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Normalized RMS bending strain amplitude,  ϵ̃ = ϵ/[(R</a:t>
                </a:r>
                <a:r>
                  <a:rPr lang="en-US" sz="1400" b="0" i="0" u="none" strike="noStrike" baseline="-25000">
                    <a:effectLst/>
                  </a:rPr>
                  <a:t>ϵ</a:t>
                </a:r>
                <a:r>
                  <a:rPr lang="en-US" sz="1400" b="0" i="0" u="none" strike="noStrike" baseline="0">
                    <a:effectLst/>
                  </a:rPr>
                  <a:t> D)/ L</a:t>
                </a:r>
                <a:r>
                  <a:rPr lang="en-US" sz="1400" b="0" i="0" u="none" strike="noStrike" baseline="-25000">
                    <a:effectLst/>
                  </a:rPr>
                  <a:t>st</a:t>
                </a:r>
                <a:r>
                  <a:rPr lang="en-US" sz="1400" b="0" i="0" u="none" strike="noStrike" baseline="30000">
                    <a:effectLst/>
                  </a:rPr>
                  <a:t>2</a:t>
                </a:r>
                <a:r>
                  <a:rPr lang="en-US" sz="1400" b="0" i="0" u="none" strike="noStrike" baseline="0">
                    <a:effectLst/>
                  </a:rPr>
                  <a:t>]</a:t>
                </a:r>
                <a:endParaRPr lang="en-US"/>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overlay val="0"/>
      <c:spPr>
        <a:solidFill>
          <a:sysClr val="window" lastClr="FFFFFF">
            <a:lumMod val="100000"/>
          </a:sysClr>
        </a:solidFill>
        <a:ln w="3175">
          <a:solidFill>
            <a:srgbClr val="C0C0C0"/>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Cross Flow</c:v>
          </c:tx>
          <c:spPr>
            <a:ln w="28575" cap="rnd">
              <a:noFill/>
              <a:round/>
            </a:ln>
            <a:effectLst/>
          </c:spPr>
          <c:marker>
            <c:symbol val="x"/>
            <c:size val="7"/>
            <c:spPr>
              <a:noFill/>
              <a:ln w="15875">
                <a:solidFill>
                  <a:schemeClr val="tx1"/>
                </a:solidFill>
              </a:ln>
              <a:effectLst/>
            </c:spPr>
          </c:marker>
          <c:xVal>
            <c:numRef>
              <c:f>m!$AF$86:$EL$86</c:f>
              <c:numCache>
                <c:formatCode>General</c:formatCode>
                <c:ptCount val="111"/>
                <c:pt idx="6">
                  <c:v>2.60569650261762</c:v>
                </c:pt>
                <c:pt idx="7">
                  <c:v>2.8052504067622763</c:v>
                </c:pt>
                <c:pt idx="8">
                  <c:v>2.9780821140943421</c:v>
                </c:pt>
                <c:pt idx="9">
                  <c:v>3.163643721763262</c:v>
                </c:pt>
                <c:pt idx="10">
                  <c:v>1.4268091136433669</c:v>
                </c:pt>
                <c:pt idx="11">
                  <c:v>1.9979105111592506</c:v>
                </c:pt>
                <c:pt idx="12">
                  <c:v>2.8565719045612186</c:v>
                </c:pt>
                <c:pt idx="13">
                  <c:v>3.6140894327455704</c:v>
                </c:pt>
                <c:pt idx="14">
                  <c:v>4.3011107499673757</c:v>
                </c:pt>
                <c:pt idx="16">
                  <c:v>5.3877687842899373</c:v>
                </c:pt>
                <c:pt idx="22">
                  <c:v>7.5190353846908184</c:v>
                </c:pt>
                <c:pt idx="29">
                  <c:v>1.741607828169798</c:v>
                </c:pt>
                <c:pt idx="30">
                  <c:v>2.459126810012223</c:v>
                </c:pt>
                <c:pt idx="31">
                  <c:v>2.026625790993418</c:v>
                </c:pt>
                <c:pt idx="33">
                  <c:v>17.341819199350411</c:v>
                </c:pt>
                <c:pt idx="34">
                  <c:v>25.687502106855938</c:v>
                </c:pt>
                <c:pt idx="36">
                  <c:v>13.822834322851989</c:v>
                </c:pt>
                <c:pt idx="37">
                  <c:v>16.211924073858711</c:v>
                </c:pt>
                <c:pt idx="38">
                  <c:v>18.833363464548963</c:v>
                </c:pt>
                <c:pt idx="39">
                  <c:v>20.63255879519469</c:v>
                </c:pt>
                <c:pt idx="40">
                  <c:v>22.261627350303019</c:v>
                </c:pt>
                <c:pt idx="41">
                  <c:v>23.851132947231889</c:v>
                </c:pt>
                <c:pt idx="42">
                  <c:v>25.606213423191516</c:v>
                </c:pt>
                <c:pt idx="43">
                  <c:v>28.114385319029473</c:v>
                </c:pt>
                <c:pt idx="44">
                  <c:v>29.234215682007001</c:v>
                </c:pt>
                <c:pt idx="45">
                  <c:v>29.788799658082734</c:v>
                </c:pt>
                <c:pt idx="46">
                  <c:v>14.167570151394056</c:v>
                </c:pt>
                <c:pt idx="47">
                  <c:v>23.897422629113926</c:v>
                </c:pt>
                <c:pt idx="48">
                  <c:v>23.98899211959225</c:v>
                </c:pt>
                <c:pt idx="49">
                  <c:v>29.976832891026625</c:v>
                </c:pt>
                <c:pt idx="50">
                  <c:v>30.926427122046618</c:v>
                </c:pt>
                <c:pt idx="51">
                  <c:v>32.179294624129149</c:v>
                </c:pt>
                <c:pt idx="52">
                  <c:v>33.359726870316962</c:v>
                </c:pt>
                <c:pt idx="62">
                  <c:v>5.8661634412927928</c:v>
                </c:pt>
                <c:pt idx="63">
                  <c:v>7.0650060736018858</c:v>
                </c:pt>
                <c:pt idx="64">
                  <c:v>8.1916384448878805</c:v>
                </c:pt>
                <c:pt idx="65">
                  <c:v>8.9443478945078017</c:v>
                </c:pt>
                <c:pt idx="66">
                  <c:v>9.7507690726174143</c:v>
                </c:pt>
                <c:pt idx="67">
                  <c:v>10.622302057822987</c:v>
                </c:pt>
                <c:pt idx="68">
                  <c:v>11.267337261488793</c:v>
                </c:pt>
                <c:pt idx="69">
                  <c:v>11.605785556257139</c:v>
                </c:pt>
                <c:pt idx="70">
                  <c:v>12.072625761854809</c:v>
                </c:pt>
                <c:pt idx="71">
                  <c:v>12.848768541931234</c:v>
                </c:pt>
                <c:pt idx="72">
                  <c:v>13.178523173139359</c:v>
                </c:pt>
                <c:pt idx="73">
                  <c:v>13.704845767474131</c:v>
                </c:pt>
                <c:pt idx="74">
                  <c:v>13.946545832467923</c:v>
                </c:pt>
                <c:pt idx="76">
                  <c:v>14.021906647870745</c:v>
                </c:pt>
                <c:pt idx="77">
                  <c:v>4.8078274145166153</c:v>
                </c:pt>
                <c:pt idx="80">
                  <c:v>15.509495728392983</c:v>
                </c:pt>
                <c:pt idx="81">
                  <c:v>16.226976955639152</c:v>
                </c:pt>
                <c:pt idx="82">
                  <c:v>16.886382007823471</c:v>
                </c:pt>
                <c:pt idx="83">
                  <c:v>17.502223209701484</c:v>
                </c:pt>
                <c:pt idx="84">
                  <c:v>17.98762575710132</c:v>
                </c:pt>
                <c:pt idx="85">
                  <c:v>3.0011205007855488</c:v>
                </c:pt>
                <c:pt idx="86">
                  <c:v>4.4377816690859024</c:v>
                </c:pt>
                <c:pt idx="87">
                  <c:v>3.5901063700284865</c:v>
                </c:pt>
                <c:pt idx="88">
                  <c:v>5.2522795455737761</c:v>
                </c:pt>
                <c:pt idx="89">
                  <c:v>4.1600088468528016</c:v>
                </c:pt>
                <c:pt idx="90">
                  <c:v>16.458823841889224</c:v>
                </c:pt>
                <c:pt idx="91">
                  <c:v>17.506191004392292</c:v>
                </c:pt>
                <c:pt idx="94">
                  <c:v>3.8469075681895233</c:v>
                </c:pt>
                <c:pt idx="97">
                  <c:v>2.0003709939890491</c:v>
                </c:pt>
                <c:pt idx="98">
                  <c:v>3.8766586879127258</c:v>
                </c:pt>
                <c:pt idx="99">
                  <c:v>4.5837433405368522</c:v>
                </c:pt>
                <c:pt idx="100">
                  <c:v>5.1304577550688109</c:v>
                </c:pt>
                <c:pt idx="101">
                  <c:v>5.7590397709015182</c:v>
                </c:pt>
                <c:pt idx="102">
                  <c:v>6.2395208532456854</c:v>
                </c:pt>
                <c:pt idx="103">
                  <c:v>6.6018402256318405</c:v>
                </c:pt>
                <c:pt idx="104">
                  <c:v>7.2050086005337972</c:v>
                </c:pt>
                <c:pt idx="105">
                  <c:v>7.9101900162230576</c:v>
                </c:pt>
                <c:pt idx="107">
                  <c:v>9.3455953693488443</c:v>
                </c:pt>
                <c:pt idx="108">
                  <c:v>9.3393571709898158</c:v>
                </c:pt>
                <c:pt idx="110">
                  <c:v>8.5879630109850904</c:v>
                </c:pt>
              </c:numCache>
            </c:numRef>
          </c:xVal>
          <c:yVal>
            <c:numRef>
              <c:f>m!$AF$95:$EL$95</c:f>
              <c:numCache>
                <c:formatCode>General</c:formatCode>
                <c:ptCount val="111"/>
                <c:pt idx="6">
                  <c:v>6.0414806166082506</c:v>
                </c:pt>
                <c:pt idx="7">
                  <c:v>6.1292359928204512</c:v>
                </c:pt>
                <c:pt idx="8">
                  <c:v>5.2848958185987494</c:v>
                </c:pt>
                <c:pt idx="9">
                  <c:v>4.2979154085934459</c:v>
                </c:pt>
                <c:pt idx="10">
                  <c:v>5.0532147082786567</c:v>
                </c:pt>
                <c:pt idx="11">
                  <c:v>3.6133175421953494</c:v>
                </c:pt>
                <c:pt idx="12">
                  <c:v>4.4434942874585293</c:v>
                </c:pt>
                <c:pt idx="13">
                  <c:v>4.9154385147601225</c:v>
                </c:pt>
                <c:pt idx="14">
                  <c:v>5.3963977447979259</c:v>
                </c:pt>
                <c:pt idx="16">
                  <c:v>3.52255142553093</c:v>
                </c:pt>
                <c:pt idx="22">
                  <c:v>4.1401928182528742</c:v>
                </c:pt>
                <c:pt idx="29">
                  <c:v>4.490854651714832</c:v>
                </c:pt>
                <c:pt idx="30">
                  <c:v>4.8959517967458943</c:v>
                </c:pt>
                <c:pt idx="31">
                  <c:v>3.8939295934451761</c:v>
                </c:pt>
                <c:pt idx="33">
                  <c:v>10.120470713192889</c:v>
                </c:pt>
                <c:pt idx="34">
                  <c:v>8.9453772336192614</c:v>
                </c:pt>
                <c:pt idx="36">
                  <c:v>10.611578666711525</c:v>
                </c:pt>
                <c:pt idx="37">
                  <c:v>13.484969152564005</c:v>
                </c:pt>
                <c:pt idx="38">
                  <c:v>9.6684949677469909</c:v>
                </c:pt>
                <c:pt idx="39">
                  <c:v>10.056504925363537</c:v>
                </c:pt>
                <c:pt idx="40">
                  <c:v>11.387889643620143</c:v>
                </c:pt>
                <c:pt idx="41">
                  <c:v>9.5704123434084227</c:v>
                </c:pt>
                <c:pt idx="42">
                  <c:v>9.3655475104383363</c:v>
                </c:pt>
                <c:pt idx="43">
                  <c:v>7.9975610372982713</c:v>
                </c:pt>
                <c:pt idx="44">
                  <c:v>8.2532209331067783</c:v>
                </c:pt>
                <c:pt idx="45">
                  <c:v>7.954322186490991</c:v>
                </c:pt>
                <c:pt idx="46">
                  <c:v>10.007795801208351</c:v>
                </c:pt>
                <c:pt idx="47">
                  <c:v>9.8621963860643529</c:v>
                </c:pt>
                <c:pt idx="48">
                  <c:v>9.4519747608689038</c:v>
                </c:pt>
                <c:pt idx="49">
                  <c:v>7.5048349972577322</c:v>
                </c:pt>
                <c:pt idx="50">
                  <c:v>7.5765537722697776</c:v>
                </c:pt>
                <c:pt idx="51">
                  <c:v>6.4600890770907728</c:v>
                </c:pt>
                <c:pt idx="52">
                  <c:v>6.3590149916729768</c:v>
                </c:pt>
                <c:pt idx="62">
                  <c:v>7.230064864592558</c:v>
                </c:pt>
                <c:pt idx="63">
                  <c:v>7.8432795970043863</c:v>
                </c:pt>
                <c:pt idx="64">
                  <c:v>7.1611992718238096</c:v>
                </c:pt>
                <c:pt idx="65">
                  <c:v>8.5921413030732001</c:v>
                </c:pt>
                <c:pt idx="66">
                  <c:v>6.661272134560023</c:v>
                </c:pt>
                <c:pt idx="67">
                  <c:v>7.7435399296450607</c:v>
                </c:pt>
                <c:pt idx="68">
                  <c:v>6.1997981508460969</c:v>
                </c:pt>
                <c:pt idx="69">
                  <c:v>7.7408089896434431</c:v>
                </c:pt>
                <c:pt idx="70">
                  <c:v>8.6625983848095451</c:v>
                </c:pt>
                <c:pt idx="71">
                  <c:v>6.621771797238047</c:v>
                </c:pt>
                <c:pt idx="72">
                  <c:v>6.9659330774762003</c:v>
                </c:pt>
                <c:pt idx="73">
                  <c:v>7.1453382407870949</c:v>
                </c:pt>
                <c:pt idx="74">
                  <c:v>8.4516911292205865</c:v>
                </c:pt>
                <c:pt idx="76">
                  <c:v>6.0778760902500926</c:v>
                </c:pt>
                <c:pt idx="77">
                  <c:v>8.6619524722903734</c:v>
                </c:pt>
                <c:pt idx="80">
                  <c:v>7.3483443733593532</c:v>
                </c:pt>
                <c:pt idx="81">
                  <c:v>8.0072612621981989</c:v>
                </c:pt>
                <c:pt idx="82">
                  <c:v>7.0758839302446521</c:v>
                </c:pt>
                <c:pt idx="83">
                  <c:v>6.8389367669751673</c:v>
                </c:pt>
                <c:pt idx="84">
                  <c:v>6.2031731981670291</c:v>
                </c:pt>
                <c:pt idx="85">
                  <c:v>9.608322876774281</c:v>
                </c:pt>
                <c:pt idx="86">
                  <c:v>8.2080991638713332</c:v>
                </c:pt>
                <c:pt idx="87">
                  <c:v>10.795030638909601</c:v>
                </c:pt>
                <c:pt idx="88">
                  <c:v>9.9406684789797772</c:v>
                </c:pt>
                <c:pt idx="89">
                  <c:v>7.6699085645929568</c:v>
                </c:pt>
                <c:pt idx="90">
                  <c:v>6.1233547438995259</c:v>
                </c:pt>
                <c:pt idx="91">
                  <c:v>6.1359189433264092</c:v>
                </c:pt>
                <c:pt idx="94">
                  <c:v>11.627400337732656</c:v>
                </c:pt>
                <c:pt idx="97">
                  <c:v>11.841933921401584</c:v>
                </c:pt>
                <c:pt idx="98">
                  <c:v>10.112716420782542</c:v>
                </c:pt>
                <c:pt idx="99">
                  <c:v>10.75326981223963</c:v>
                </c:pt>
                <c:pt idx="100">
                  <c:v>12.593437950738654</c:v>
                </c:pt>
                <c:pt idx="101">
                  <c:v>9.9708079988168254</c:v>
                </c:pt>
                <c:pt idx="102">
                  <c:v>12.57159489291657</c:v>
                </c:pt>
                <c:pt idx="103">
                  <c:v>11.025393435074347</c:v>
                </c:pt>
                <c:pt idx="104">
                  <c:v>8.8729996804417208</c:v>
                </c:pt>
                <c:pt idx="105">
                  <c:v>12.254596368878824</c:v>
                </c:pt>
                <c:pt idx="107">
                  <c:v>9.2304269063872528</c:v>
                </c:pt>
                <c:pt idx="108">
                  <c:v>10.128045629794443</c:v>
                </c:pt>
                <c:pt idx="110">
                  <c:v>8.7481293899266319</c:v>
                </c:pt>
              </c:numCache>
            </c:numRef>
          </c:yVal>
          <c:smooth val="0"/>
          <c:extLst>
            <c:ext xmlns:c16="http://schemas.microsoft.com/office/drawing/2014/chart" uri="{C3380CC4-5D6E-409C-BE32-E72D297353CC}">
              <c16:uniqueId val="{00000000-4082-4368-9ED7-D137B00C41A2}"/>
            </c:ext>
          </c:extLst>
        </c:ser>
        <c:ser>
          <c:idx val="1"/>
          <c:order val="1"/>
          <c:tx>
            <c:v>In Line</c:v>
          </c:tx>
          <c:spPr>
            <a:ln w="25400" cap="rnd">
              <a:noFill/>
              <a:round/>
            </a:ln>
            <a:effectLst/>
          </c:spPr>
          <c:marker>
            <c:symbol val="circle"/>
            <c:size val="7"/>
            <c:spPr>
              <a:noFill/>
              <a:ln w="15875">
                <a:solidFill>
                  <a:schemeClr val="tx1"/>
                </a:solidFill>
              </a:ln>
              <a:effectLst/>
            </c:spPr>
          </c:marker>
          <c:xVal>
            <c:numRef>
              <c:f>m!$AF$86:$EL$86</c:f>
              <c:numCache>
                <c:formatCode>General</c:formatCode>
                <c:ptCount val="111"/>
                <c:pt idx="6">
                  <c:v>2.60569650261762</c:v>
                </c:pt>
                <c:pt idx="7">
                  <c:v>2.8052504067622763</c:v>
                </c:pt>
                <c:pt idx="8">
                  <c:v>2.9780821140943421</c:v>
                </c:pt>
                <c:pt idx="9">
                  <c:v>3.163643721763262</c:v>
                </c:pt>
                <c:pt idx="10">
                  <c:v>1.4268091136433669</c:v>
                </c:pt>
                <c:pt idx="11">
                  <c:v>1.9979105111592506</c:v>
                </c:pt>
                <c:pt idx="12">
                  <c:v>2.8565719045612186</c:v>
                </c:pt>
                <c:pt idx="13">
                  <c:v>3.6140894327455704</c:v>
                </c:pt>
                <c:pt idx="14">
                  <c:v>4.3011107499673757</c:v>
                </c:pt>
                <c:pt idx="16">
                  <c:v>5.3877687842899373</c:v>
                </c:pt>
                <c:pt idx="22">
                  <c:v>7.5190353846908184</c:v>
                </c:pt>
                <c:pt idx="29">
                  <c:v>1.741607828169798</c:v>
                </c:pt>
                <c:pt idx="30">
                  <c:v>2.459126810012223</c:v>
                </c:pt>
                <c:pt idx="31">
                  <c:v>2.026625790993418</c:v>
                </c:pt>
                <c:pt idx="33">
                  <c:v>17.341819199350411</c:v>
                </c:pt>
                <c:pt idx="34">
                  <c:v>25.687502106855938</c:v>
                </c:pt>
                <c:pt idx="36">
                  <c:v>13.822834322851989</c:v>
                </c:pt>
                <c:pt idx="37">
                  <c:v>16.211924073858711</c:v>
                </c:pt>
                <c:pt idx="38">
                  <c:v>18.833363464548963</c:v>
                </c:pt>
                <c:pt idx="39">
                  <c:v>20.63255879519469</c:v>
                </c:pt>
                <c:pt idx="40">
                  <c:v>22.261627350303019</c:v>
                </c:pt>
                <c:pt idx="41">
                  <c:v>23.851132947231889</c:v>
                </c:pt>
                <c:pt idx="42">
                  <c:v>25.606213423191516</c:v>
                </c:pt>
                <c:pt idx="43">
                  <c:v>28.114385319029473</c:v>
                </c:pt>
                <c:pt idx="44">
                  <c:v>29.234215682007001</c:v>
                </c:pt>
                <c:pt idx="45">
                  <c:v>29.788799658082734</c:v>
                </c:pt>
                <c:pt idx="46">
                  <c:v>14.167570151394056</c:v>
                </c:pt>
                <c:pt idx="47">
                  <c:v>23.897422629113926</c:v>
                </c:pt>
                <c:pt idx="48">
                  <c:v>23.98899211959225</c:v>
                </c:pt>
                <c:pt idx="49">
                  <c:v>29.976832891026625</c:v>
                </c:pt>
                <c:pt idx="50">
                  <c:v>30.926427122046618</c:v>
                </c:pt>
                <c:pt idx="51">
                  <c:v>32.179294624129149</c:v>
                </c:pt>
                <c:pt idx="52">
                  <c:v>33.359726870316962</c:v>
                </c:pt>
                <c:pt idx="62">
                  <c:v>5.8661634412927928</c:v>
                </c:pt>
                <c:pt idx="63">
                  <c:v>7.0650060736018858</c:v>
                </c:pt>
                <c:pt idx="64">
                  <c:v>8.1916384448878805</c:v>
                </c:pt>
                <c:pt idx="65">
                  <c:v>8.9443478945078017</c:v>
                </c:pt>
                <c:pt idx="66">
                  <c:v>9.7507690726174143</c:v>
                </c:pt>
                <c:pt idx="67">
                  <c:v>10.622302057822987</c:v>
                </c:pt>
                <c:pt idx="68">
                  <c:v>11.267337261488793</c:v>
                </c:pt>
                <c:pt idx="69">
                  <c:v>11.605785556257139</c:v>
                </c:pt>
                <c:pt idx="70">
                  <c:v>12.072625761854809</c:v>
                </c:pt>
                <c:pt idx="71">
                  <c:v>12.848768541931234</c:v>
                </c:pt>
                <c:pt idx="72">
                  <c:v>13.178523173139359</c:v>
                </c:pt>
                <c:pt idx="73">
                  <c:v>13.704845767474131</c:v>
                </c:pt>
                <c:pt idx="74">
                  <c:v>13.946545832467923</c:v>
                </c:pt>
                <c:pt idx="76">
                  <c:v>14.021906647870745</c:v>
                </c:pt>
                <c:pt idx="77">
                  <c:v>4.8078274145166153</c:v>
                </c:pt>
                <c:pt idx="80">
                  <c:v>15.509495728392983</c:v>
                </c:pt>
                <c:pt idx="81">
                  <c:v>16.226976955639152</c:v>
                </c:pt>
                <c:pt idx="82">
                  <c:v>16.886382007823471</c:v>
                </c:pt>
                <c:pt idx="83">
                  <c:v>17.502223209701484</c:v>
                </c:pt>
                <c:pt idx="84">
                  <c:v>17.98762575710132</c:v>
                </c:pt>
                <c:pt idx="85">
                  <c:v>3.0011205007855488</c:v>
                </c:pt>
                <c:pt idx="86">
                  <c:v>4.4377816690859024</c:v>
                </c:pt>
                <c:pt idx="87">
                  <c:v>3.5901063700284865</c:v>
                </c:pt>
                <c:pt idx="88">
                  <c:v>5.2522795455737761</c:v>
                </c:pt>
                <c:pt idx="89">
                  <c:v>4.1600088468528016</c:v>
                </c:pt>
                <c:pt idx="90">
                  <c:v>16.458823841889224</c:v>
                </c:pt>
                <c:pt idx="91">
                  <c:v>17.506191004392292</c:v>
                </c:pt>
                <c:pt idx="94">
                  <c:v>3.8469075681895233</c:v>
                </c:pt>
                <c:pt idx="97">
                  <c:v>2.0003709939890491</c:v>
                </c:pt>
                <c:pt idx="98">
                  <c:v>3.8766586879127258</c:v>
                </c:pt>
                <c:pt idx="99">
                  <c:v>4.5837433405368522</c:v>
                </c:pt>
                <c:pt idx="100">
                  <c:v>5.1304577550688109</c:v>
                </c:pt>
                <c:pt idx="101">
                  <c:v>5.7590397709015182</c:v>
                </c:pt>
                <c:pt idx="102">
                  <c:v>6.2395208532456854</c:v>
                </c:pt>
                <c:pt idx="103">
                  <c:v>6.6018402256318405</c:v>
                </c:pt>
                <c:pt idx="104">
                  <c:v>7.2050086005337972</c:v>
                </c:pt>
                <c:pt idx="105">
                  <c:v>7.9101900162230576</c:v>
                </c:pt>
                <c:pt idx="107">
                  <c:v>9.3455953693488443</c:v>
                </c:pt>
                <c:pt idx="108">
                  <c:v>9.3393571709898158</c:v>
                </c:pt>
                <c:pt idx="110">
                  <c:v>8.5879630109850904</c:v>
                </c:pt>
              </c:numCache>
            </c:numRef>
          </c:xVal>
          <c:yVal>
            <c:numRef>
              <c:f>m!$AF$96:$EL$96</c:f>
              <c:numCache>
                <c:formatCode>General</c:formatCode>
                <c:ptCount val="111"/>
                <c:pt idx="6">
                  <c:v>4.6527598235675249</c:v>
                </c:pt>
                <c:pt idx="7">
                  <c:v>4.2805274655235781</c:v>
                </c:pt>
                <c:pt idx="8">
                  <c:v>3.4393569277814708</c:v>
                </c:pt>
                <c:pt idx="9">
                  <c:v>3.6129037340831314</c:v>
                </c:pt>
                <c:pt idx="10">
                  <c:v>5.4755784611121161</c:v>
                </c:pt>
                <c:pt idx="11">
                  <c:v>5.1682826595532747</c:v>
                </c:pt>
                <c:pt idx="12">
                  <c:v>3.0985995787371445</c:v>
                </c:pt>
                <c:pt idx="13">
                  <c:v>3.134879815279314</c:v>
                </c:pt>
                <c:pt idx="14">
                  <c:v>3.0033011206407316</c:v>
                </c:pt>
                <c:pt idx="16">
                  <c:v>2.9529997740314693</c:v>
                </c:pt>
                <c:pt idx="22">
                  <c:v>2.536745078640724</c:v>
                </c:pt>
                <c:pt idx="29">
                  <c:v>5.2461545091174413</c:v>
                </c:pt>
                <c:pt idx="30">
                  <c:v>3.8667689214808134</c:v>
                </c:pt>
                <c:pt idx="31">
                  <c:v>5.2126574434788768</c:v>
                </c:pt>
                <c:pt idx="33">
                  <c:v>7.7033235890944756</c:v>
                </c:pt>
                <c:pt idx="34">
                  <c:v>9.1444916587946974</c:v>
                </c:pt>
                <c:pt idx="36">
                  <c:v>8.7140648971788437</c:v>
                </c:pt>
                <c:pt idx="37">
                  <c:v>12.927157671770168</c:v>
                </c:pt>
                <c:pt idx="38">
                  <c:v>8.3600761384121469</c:v>
                </c:pt>
                <c:pt idx="39">
                  <c:v>8.9999781210833945</c:v>
                </c:pt>
                <c:pt idx="40">
                  <c:v>11.710147435168425</c:v>
                </c:pt>
                <c:pt idx="41">
                  <c:v>9.6604016799591612</c:v>
                </c:pt>
                <c:pt idx="42">
                  <c:v>8.9844518836473455</c:v>
                </c:pt>
                <c:pt idx="43">
                  <c:v>8.1478940601600911</c:v>
                </c:pt>
                <c:pt idx="44">
                  <c:v>7.9194530647955013</c:v>
                </c:pt>
                <c:pt idx="45">
                  <c:v>8.4688373486197897</c:v>
                </c:pt>
                <c:pt idx="46">
                  <c:v>8.1654266073084845</c:v>
                </c:pt>
                <c:pt idx="47">
                  <c:v>10.157317419596724</c:v>
                </c:pt>
                <c:pt idx="48">
                  <c:v>8.4459765120883326</c:v>
                </c:pt>
                <c:pt idx="49">
                  <c:v>8.8566927659923493</c:v>
                </c:pt>
                <c:pt idx="50">
                  <c:v>7.9864493524762779</c:v>
                </c:pt>
                <c:pt idx="51">
                  <c:v>7.5929751024784267</c:v>
                </c:pt>
                <c:pt idx="52">
                  <c:v>7.0417931291632536</c:v>
                </c:pt>
                <c:pt idx="62">
                  <c:v>6.6249810457925706</c:v>
                </c:pt>
                <c:pt idx="63">
                  <c:v>5.9447274054537775</c:v>
                </c:pt>
                <c:pt idx="64">
                  <c:v>4.3790295625014277</c:v>
                </c:pt>
                <c:pt idx="65">
                  <c:v>7.0215974595106143</c:v>
                </c:pt>
                <c:pt idx="66">
                  <c:v>5.4768436761823818</c:v>
                </c:pt>
                <c:pt idx="67">
                  <c:v>4.8822056936446092</c:v>
                </c:pt>
                <c:pt idx="68">
                  <c:v>4.4672288224686083</c:v>
                </c:pt>
                <c:pt idx="69">
                  <c:v>6.5369518717044457</c:v>
                </c:pt>
                <c:pt idx="70">
                  <c:v>7.9590472097189648</c:v>
                </c:pt>
                <c:pt idx="71">
                  <c:v>5.4878070883378705</c:v>
                </c:pt>
                <c:pt idx="72">
                  <c:v>6.5026988056572304</c:v>
                </c:pt>
                <c:pt idx="73">
                  <c:v>6.329848379965453</c:v>
                </c:pt>
                <c:pt idx="74">
                  <c:v>6.2013253457317621</c:v>
                </c:pt>
                <c:pt idx="76">
                  <c:v>5.2492619268133645</c:v>
                </c:pt>
                <c:pt idx="77">
                  <c:v>6.3209002515631276</c:v>
                </c:pt>
                <c:pt idx="80">
                  <c:v>6.4868297836002924</c:v>
                </c:pt>
                <c:pt idx="81">
                  <c:v>5.827620282954654</c:v>
                </c:pt>
                <c:pt idx="82">
                  <c:v>7.0663143302767422</c:v>
                </c:pt>
                <c:pt idx="83">
                  <c:v>5.9628619384453367</c:v>
                </c:pt>
                <c:pt idx="84">
                  <c:v>5.5226853762264438</c:v>
                </c:pt>
                <c:pt idx="85">
                  <c:v>9.7019903060697743</c:v>
                </c:pt>
                <c:pt idx="86">
                  <c:v>7.6053639768993335</c:v>
                </c:pt>
                <c:pt idx="87">
                  <c:v>7.5584542426748964</c:v>
                </c:pt>
                <c:pt idx="88">
                  <c:v>6.9427008530083283</c:v>
                </c:pt>
                <c:pt idx="89">
                  <c:v>6.4055240885023839</c:v>
                </c:pt>
                <c:pt idx="90">
                  <c:v>5.9595789339150782</c:v>
                </c:pt>
                <c:pt idx="91">
                  <c:v>5.8625018670641422</c:v>
                </c:pt>
                <c:pt idx="94">
                  <c:v>8.5837852954236631</c:v>
                </c:pt>
                <c:pt idx="97">
                  <c:v>8.0736939293288259</c:v>
                </c:pt>
                <c:pt idx="98">
                  <c:v>8.5723204770723118</c:v>
                </c:pt>
                <c:pt idx="99">
                  <c:v>9.3688715981853772</c:v>
                </c:pt>
                <c:pt idx="100">
                  <c:v>11.808645757253798</c:v>
                </c:pt>
                <c:pt idx="101">
                  <c:v>9.3027335683988124</c:v>
                </c:pt>
                <c:pt idx="102">
                  <c:v>8.8407959437509973</c:v>
                </c:pt>
                <c:pt idx="103">
                  <c:v>9.4797698241348378</c:v>
                </c:pt>
                <c:pt idx="104">
                  <c:v>7.8622566156607085</c:v>
                </c:pt>
                <c:pt idx="105">
                  <c:v>9.6176111415033159</c:v>
                </c:pt>
                <c:pt idx="107">
                  <c:v>7.4199267899654808</c:v>
                </c:pt>
                <c:pt idx="108">
                  <c:v>7.9053481326688049</c:v>
                </c:pt>
                <c:pt idx="110">
                  <c:v>7.3530728474436851</c:v>
                </c:pt>
              </c:numCache>
            </c:numRef>
          </c:yVal>
          <c:smooth val="0"/>
          <c:extLst>
            <c:ext xmlns:c16="http://schemas.microsoft.com/office/drawing/2014/chart" uri="{C3380CC4-5D6E-409C-BE32-E72D297353CC}">
              <c16:uniqueId val="{00000001-4082-4368-9ED7-D137B00C41A2}"/>
            </c:ext>
          </c:extLst>
        </c:ser>
        <c:dLbls>
          <c:showLegendKey val="0"/>
          <c:showVal val="0"/>
          <c:showCatName val="0"/>
          <c:showSerName val="0"/>
          <c:showPercent val="0"/>
          <c:showBubbleSize val="0"/>
        </c:dLbls>
        <c:axId val="624399680"/>
        <c:axId val="624400008"/>
      </c:scatterChart>
      <c:valAx>
        <c:axId val="624399680"/>
        <c:scaling>
          <c:logBase val="10"/>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800">
                    <a:effectLst/>
                  </a:rPr>
                  <a:t>Normalized Span Length, L̃ = L/L</a:t>
                </a:r>
                <a:r>
                  <a:rPr lang="en-US" sz="1800" baseline="-25000">
                    <a:effectLst/>
                  </a:rPr>
                  <a:t>st</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Normalized Fatigue-Equivalent Strain Amplitude, ϵ̃</a:t>
                </a:r>
                <a:r>
                  <a:rPr lang="en-US" sz="1400" b="0" i="0" u="none" strike="noStrike" baseline="-25000">
                    <a:effectLst/>
                  </a:rPr>
                  <a:t>e</a:t>
                </a:r>
                <a:r>
                  <a:rPr lang="en-US" sz="1400" b="0" i="0" u="none" strike="noStrike" baseline="0">
                    <a:effectLst/>
                  </a:rPr>
                  <a:t> = ϵ</a:t>
                </a:r>
                <a:r>
                  <a:rPr lang="en-US" sz="1400" b="0" i="0" u="none" strike="noStrike" baseline="-25000">
                    <a:effectLst/>
                  </a:rPr>
                  <a:t>e</a:t>
                </a:r>
                <a:r>
                  <a:rPr lang="en-US" sz="1400" b="0" i="0" u="none" strike="noStrike" baseline="0">
                    <a:effectLst/>
                  </a:rPr>
                  <a:t>/(R</a:t>
                </a:r>
                <a:r>
                  <a:rPr lang="en-US" sz="1400" b="0" i="0" u="none" strike="noStrike" baseline="-25000">
                    <a:effectLst/>
                  </a:rPr>
                  <a:t>ϵ</a:t>
                </a:r>
                <a:r>
                  <a:rPr lang="en-US" sz="1400" b="0" i="0" u="none" strike="noStrike" baseline="0">
                    <a:effectLst/>
                  </a:rPr>
                  <a:t>D/L</a:t>
                </a:r>
                <a:r>
                  <a:rPr lang="en-US" sz="1400" b="0" i="0" u="none" strike="noStrike" baseline="-25000">
                    <a:effectLst/>
                  </a:rPr>
                  <a:t>st</a:t>
                </a:r>
                <a:r>
                  <a:rPr lang="en-US" sz="1400" b="0" i="0" u="none" strike="noStrike" baseline="30000">
                    <a:effectLst/>
                  </a:rPr>
                  <a:t>2</a:t>
                </a:r>
                <a:r>
                  <a:rPr lang="en-US" sz="1400" b="0" i="0" u="none" strike="noStrike" baseline="0">
                    <a:effectLst/>
                  </a:rPr>
                  <a:t>)</a:t>
                </a:r>
                <a:endParaRPr lang="en-US"/>
              </a:p>
            </c:rich>
          </c:tx>
          <c:layout>
            <c:manualLayout>
              <c:xMode val="edge"/>
              <c:yMode val="edge"/>
              <c:x val="6.9747166521360072E-3"/>
              <c:y val="6.6125281348378459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At val="0.1"/>
        <c:crossBetween val="midCat"/>
      </c:valAx>
      <c:spPr>
        <a:noFill/>
        <a:ln w="12700">
          <a:solidFill>
            <a:srgbClr val="808080"/>
          </a:solidFill>
          <a:prstDash val="solid"/>
        </a:ln>
        <a:effectLst/>
      </c:spPr>
    </c:plotArea>
    <c:legend>
      <c:legendPos val="r"/>
      <c:overlay val="0"/>
      <c:spPr>
        <a:solidFill>
          <a:sysClr val="window" lastClr="FFFFFF">
            <a:lumMod val="100000"/>
          </a:sysClr>
        </a:solidFill>
        <a:ln w="3175">
          <a:solidFill>
            <a:srgbClr val="C0C0C0"/>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Cross Flow</c:v>
          </c:tx>
          <c:spPr>
            <a:ln w="28575" cap="rnd">
              <a:noFill/>
              <a:round/>
            </a:ln>
            <a:effectLst/>
          </c:spPr>
          <c:marker>
            <c:symbol val="x"/>
            <c:size val="7"/>
            <c:spPr>
              <a:noFill/>
              <a:ln w="15875">
                <a:solidFill>
                  <a:schemeClr val="tx1"/>
                </a:solidFill>
              </a:ln>
              <a:effectLst/>
            </c:spPr>
          </c:marker>
          <c:xVal>
            <c:numRef>
              <c:f>m!$AF$88:$EL$88</c:f>
              <c:numCache>
                <c:formatCode>General</c:formatCode>
                <c:ptCount val="111"/>
                <c:pt idx="6">
                  <c:v>1.2077756213486157</c:v>
                </c:pt>
                <c:pt idx="7">
                  <c:v>1.1056289978340066</c:v>
                </c:pt>
                <c:pt idx="8">
                  <c:v>1.0251873368791706</c:v>
                </c:pt>
                <c:pt idx="9">
                  <c:v>0.95931262586627597</c:v>
                </c:pt>
                <c:pt idx="10">
                  <c:v>24.391892556467965</c:v>
                </c:pt>
                <c:pt idx="11">
                  <c:v>12.39314191041627</c:v>
                </c:pt>
                <c:pt idx="12">
                  <c:v>6.0526881112960602</c:v>
                </c:pt>
                <c:pt idx="13">
                  <c:v>3.7666895969175127</c:v>
                </c:pt>
                <c:pt idx="14">
                  <c:v>2.6785350127838461</c:v>
                </c:pt>
                <c:pt idx="16">
                  <c:v>1.8850320220016954</c:v>
                </c:pt>
                <c:pt idx="22">
                  <c:v>1.1515535876000997</c:v>
                </c:pt>
                <c:pt idx="29">
                  <c:v>16.152806707052129</c:v>
                </c:pt>
                <c:pt idx="30">
                  <c:v>8.0284894017907167</c:v>
                </c:pt>
                <c:pt idx="31">
                  <c:v>11.824562591088151</c:v>
                </c:pt>
                <c:pt idx="33">
                  <c:v>9.058449261180316</c:v>
                </c:pt>
                <c:pt idx="34">
                  <c:v>7.8664433508505711</c:v>
                </c:pt>
                <c:pt idx="36">
                  <c:v>30.065626016914369</c:v>
                </c:pt>
                <c:pt idx="37">
                  <c:v>22.639463651886633</c:v>
                </c:pt>
                <c:pt idx="38">
                  <c:v>16.656638164149282</c:v>
                </c:pt>
                <c:pt idx="39">
                  <c:v>15.021212136386572</c:v>
                </c:pt>
                <c:pt idx="40">
                  <c:v>13.951169656448213</c:v>
                </c:pt>
                <c:pt idx="41">
                  <c:v>13.01388949792244</c:v>
                </c:pt>
                <c:pt idx="42">
                  <c:v>11.766366373383427</c:v>
                </c:pt>
                <c:pt idx="43">
                  <c:v>11.269336129968526</c:v>
                </c:pt>
                <c:pt idx="44">
                  <c:v>11.170898139527413</c:v>
                </c:pt>
                <c:pt idx="45">
                  <c:v>11.960799378255555</c:v>
                </c:pt>
                <c:pt idx="46">
                  <c:v>27.162889586886486</c:v>
                </c:pt>
                <c:pt idx="47">
                  <c:v>12.912503702619032</c:v>
                </c:pt>
                <c:pt idx="48">
                  <c:v>12.021652336608035</c:v>
                </c:pt>
                <c:pt idx="49">
                  <c:v>11.232099961635724</c:v>
                </c:pt>
                <c:pt idx="50">
                  <c:v>11.693849947411628</c:v>
                </c:pt>
                <c:pt idx="51">
                  <c:v>11.223698400411086</c:v>
                </c:pt>
                <c:pt idx="52">
                  <c:v>10.86580831318318</c:v>
                </c:pt>
                <c:pt idx="62">
                  <c:v>14.967634874281726</c:v>
                </c:pt>
                <c:pt idx="63">
                  <c:v>10.859495391314089</c:v>
                </c:pt>
                <c:pt idx="64">
                  <c:v>8.4563881945228196</c:v>
                </c:pt>
                <c:pt idx="65">
                  <c:v>8.0451490313237208</c:v>
                </c:pt>
                <c:pt idx="66">
                  <c:v>7.3666796900735303</c:v>
                </c:pt>
                <c:pt idx="67">
                  <c:v>6.5196411657785642</c:v>
                </c:pt>
                <c:pt idx="68">
                  <c:v>6.3301131825501749</c:v>
                </c:pt>
                <c:pt idx="69">
                  <c:v>6.8827228840656973</c:v>
                </c:pt>
                <c:pt idx="70">
                  <c:v>7.0094627058965058</c:v>
                </c:pt>
                <c:pt idx="71">
                  <c:v>6.3298791757150115</c:v>
                </c:pt>
                <c:pt idx="72">
                  <c:v>6.6780438219414266</c:v>
                </c:pt>
                <c:pt idx="73">
                  <c:v>6.5385293353880218</c:v>
                </c:pt>
                <c:pt idx="74">
                  <c:v>6.9941799281985251</c:v>
                </c:pt>
                <c:pt idx="76">
                  <c:v>6.8232928038368632</c:v>
                </c:pt>
                <c:pt idx="77">
                  <c:v>18.904292224553938</c:v>
                </c:pt>
                <c:pt idx="80">
                  <c:v>4.9032420224881452</c:v>
                </c:pt>
                <c:pt idx="81">
                  <c:v>5.154905288650987</c:v>
                </c:pt>
                <c:pt idx="82">
                  <c:v>5.408353073811563</c:v>
                </c:pt>
                <c:pt idx="83">
                  <c:v>5.6648585615667919</c:v>
                </c:pt>
                <c:pt idx="84">
                  <c:v>6.0623627952754546</c:v>
                </c:pt>
                <c:pt idx="85">
                  <c:v>57.260760259312697</c:v>
                </c:pt>
                <c:pt idx="86">
                  <c:v>26.427104906202789</c:v>
                </c:pt>
                <c:pt idx="87">
                  <c:v>40.004296051188781</c:v>
                </c:pt>
                <c:pt idx="88">
                  <c:v>19.130558061300469</c:v>
                </c:pt>
                <c:pt idx="89">
                  <c:v>29.934930652950253</c:v>
                </c:pt>
                <c:pt idx="90">
                  <c:v>2.6231064436735849</c:v>
                </c:pt>
                <c:pt idx="91">
                  <c:v>3.0770338188674491</c:v>
                </c:pt>
                <c:pt idx="94">
                  <c:v>112.5027611445126</c:v>
                </c:pt>
                <c:pt idx="97">
                  <c:v>387.12046526060993</c:v>
                </c:pt>
                <c:pt idx="98">
                  <c:v>109.01295409328802</c:v>
                </c:pt>
                <c:pt idx="99">
                  <c:v>80.044164274946709</c:v>
                </c:pt>
                <c:pt idx="100">
                  <c:v>69.315374934098855</c:v>
                </c:pt>
                <c:pt idx="101">
                  <c:v>56.845340825747876</c:v>
                </c:pt>
                <c:pt idx="102">
                  <c:v>52.110362557298266</c:v>
                </c:pt>
                <c:pt idx="103">
                  <c:v>51.347614683737454</c:v>
                </c:pt>
                <c:pt idx="104">
                  <c:v>43.636818151904194</c:v>
                </c:pt>
                <c:pt idx="105">
                  <c:v>29.734510695495572</c:v>
                </c:pt>
                <c:pt idx="107">
                  <c:v>28.325629332891609</c:v>
                </c:pt>
                <c:pt idx="108">
                  <c:v>32.438035866153264</c:v>
                </c:pt>
                <c:pt idx="110">
                  <c:v>25.30851824555894</c:v>
                </c:pt>
              </c:numCache>
            </c:numRef>
          </c:xVal>
          <c:yVal>
            <c:numRef>
              <c:f>m!$AF$90:$EL$90</c:f>
              <c:numCache>
                <c:formatCode>General</c:formatCode>
                <c:ptCount val="111"/>
                <c:pt idx="6">
                  <c:v>5.2324625570429388</c:v>
                </c:pt>
                <c:pt idx="7">
                  <c:v>5.3055824072041231</c:v>
                </c:pt>
                <c:pt idx="8">
                  <c:v>4.655447978393739</c:v>
                </c:pt>
                <c:pt idx="9">
                  <c:v>3.9755921812321118</c:v>
                </c:pt>
                <c:pt idx="10">
                  <c:v>4.062120186477582</c:v>
                </c:pt>
                <c:pt idx="11">
                  <c:v>3.1506997473427294</c:v>
                </c:pt>
                <c:pt idx="12">
                  <c:v>4.1786954227753803</c:v>
                </c:pt>
                <c:pt idx="13">
                  <c:v>4.4375395113080085</c:v>
                </c:pt>
                <c:pt idx="14">
                  <c:v>5.0795365493314559</c:v>
                </c:pt>
                <c:pt idx="16">
                  <c:v>3.7917125475365436</c:v>
                </c:pt>
                <c:pt idx="22">
                  <c:v>4.1255132431082453</c:v>
                </c:pt>
                <c:pt idx="29">
                  <c:v>3.4774946615159275</c:v>
                </c:pt>
                <c:pt idx="30">
                  <c:v>5.0096376560329396</c:v>
                </c:pt>
                <c:pt idx="31">
                  <c:v>3.3211441120706886</c:v>
                </c:pt>
                <c:pt idx="33">
                  <c:v>7.5372228689385867</c:v>
                </c:pt>
                <c:pt idx="34">
                  <c:v>6.7538585466501351</c:v>
                </c:pt>
                <c:pt idx="36">
                  <c:v>6.9085285216317676</c:v>
                </c:pt>
                <c:pt idx="37">
                  <c:v>8.7844808327165307</c:v>
                </c:pt>
                <c:pt idx="38">
                  <c:v>6.8815419584476922</c:v>
                </c:pt>
                <c:pt idx="39">
                  <c:v>7.0835981525221072</c:v>
                </c:pt>
                <c:pt idx="40">
                  <c:v>7.9295325649227948</c:v>
                </c:pt>
                <c:pt idx="41">
                  <c:v>6.7364402255589626</c:v>
                </c:pt>
                <c:pt idx="42">
                  <c:v>6.8873829945396192</c:v>
                </c:pt>
                <c:pt idx="43">
                  <c:v>6.0678848365387212</c:v>
                </c:pt>
                <c:pt idx="44">
                  <c:v>6.1645888533499686</c:v>
                </c:pt>
                <c:pt idx="45">
                  <c:v>5.8693943176476182</c:v>
                </c:pt>
                <c:pt idx="46">
                  <c:v>6.7850434650344518</c:v>
                </c:pt>
                <c:pt idx="47">
                  <c:v>7.2194045444036385</c:v>
                </c:pt>
                <c:pt idx="48">
                  <c:v>6.9426629376466629</c:v>
                </c:pt>
                <c:pt idx="49">
                  <c:v>5.4563023939985182</c:v>
                </c:pt>
                <c:pt idx="50">
                  <c:v>5.65606720316016</c:v>
                </c:pt>
                <c:pt idx="51">
                  <c:v>4.8338479073442899</c:v>
                </c:pt>
                <c:pt idx="52">
                  <c:v>4.8195115261323638</c:v>
                </c:pt>
                <c:pt idx="62">
                  <c:v>5.4193347671040568</c:v>
                </c:pt>
                <c:pt idx="63">
                  <c:v>6.8529805604098808</c:v>
                </c:pt>
                <c:pt idx="64">
                  <c:v>5.4979158235517529</c:v>
                </c:pt>
                <c:pt idx="65">
                  <c:v>7.4502001431439764</c:v>
                </c:pt>
                <c:pt idx="66">
                  <c:v>5.5318021576845782</c:v>
                </c:pt>
                <c:pt idx="67">
                  <c:v>5.5776637333934751</c:v>
                </c:pt>
                <c:pt idx="68">
                  <c:v>5.0590639783537945</c:v>
                </c:pt>
                <c:pt idx="69">
                  <c:v>6.8464682065829958</c:v>
                </c:pt>
                <c:pt idx="70">
                  <c:v>6.6543224390188449</c:v>
                </c:pt>
                <c:pt idx="71">
                  <c:v>5.1683830156398898</c:v>
                </c:pt>
                <c:pt idx="72">
                  <c:v>5.594990588667164</c:v>
                </c:pt>
                <c:pt idx="73">
                  <c:v>5.5691169351975658</c:v>
                </c:pt>
                <c:pt idx="74">
                  <c:v>6.2187642280426072</c:v>
                </c:pt>
                <c:pt idx="76">
                  <c:v>4.7683936504633282</c:v>
                </c:pt>
                <c:pt idx="77">
                  <c:v>6.8398595433096556</c:v>
                </c:pt>
                <c:pt idx="80">
                  <c:v>5.6245015284995121</c:v>
                </c:pt>
                <c:pt idx="81">
                  <c:v>5.8791631689856292</c:v>
                </c:pt>
                <c:pt idx="82">
                  <c:v>5.3497595958873392</c:v>
                </c:pt>
                <c:pt idx="83">
                  <c:v>5.3211634390164555</c:v>
                </c:pt>
                <c:pt idx="84">
                  <c:v>4.9082587245668545</c:v>
                </c:pt>
                <c:pt idx="85">
                  <c:v>8.1975543089896643</c:v>
                </c:pt>
                <c:pt idx="86">
                  <c:v>6.8783018648658745</c:v>
                </c:pt>
                <c:pt idx="87">
                  <c:v>8.0220992916744116</c:v>
                </c:pt>
                <c:pt idx="88">
                  <c:v>7.3674932365542176</c:v>
                </c:pt>
                <c:pt idx="89">
                  <c:v>6.412366602952301</c:v>
                </c:pt>
                <c:pt idx="90">
                  <c:v>4.9936302494679827</c:v>
                </c:pt>
                <c:pt idx="91">
                  <c:v>4.9024993379104069</c:v>
                </c:pt>
                <c:pt idx="94">
                  <c:v>7.7854864960459267</c:v>
                </c:pt>
                <c:pt idx="97">
                  <c:v>9.9126672667002698</c:v>
                </c:pt>
                <c:pt idx="98">
                  <c:v>7.8833702476357796</c:v>
                </c:pt>
                <c:pt idx="99">
                  <c:v>7.4410449669162775</c:v>
                </c:pt>
                <c:pt idx="100">
                  <c:v>8.5277178745003859</c:v>
                </c:pt>
                <c:pt idx="101">
                  <c:v>6.6819444392548633</c:v>
                </c:pt>
                <c:pt idx="102">
                  <c:v>8.1725146024073823</c:v>
                </c:pt>
                <c:pt idx="103">
                  <c:v>7.8396125218769326</c:v>
                </c:pt>
                <c:pt idx="104">
                  <c:v>6.52021451328359</c:v>
                </c:pt>
                <c:pt idx="105">
                  <c:v>8.0022562475030163</c:v>
                </c:pt>
                <c:pt idx="107">
                  <c:v>6.8727735020532252</c:v>
                </c:pt>
                <c:pt idx="108">
                  <c:v>6.7032176997414767</c:v>
                </c:pt>
                <c:pt idx="110">
                  <c:v>6.1343399695379084</c:v>
                </c:pt>
              </c:numCache>
            </c:numRef>
          </c:yVal>
          <c:smooth val="0"/>
          <c:extLst>
            <c:ext xmlns:c16="http://schemas.microsoft.com/office/drawing/2014/chart" uri="{C3380CC4-5D6E-409C-BE32-E72D297353CC}">
              <c16:uniqueId val="{00000000-169D-4717-BB93-EA6862A579FE}"/>
            </c:ext>
          </c:extLst>
        </c:ser>
        <c:ser>
          <c:idx val="1"/>
          <c:order val="1"/>
          <c:tx>
            <c:v>In Line</c:v>
          </c:tx>
          <c:spPr>
            <a:ln w="25400" cap="rnd">
              <a:noFill/>
              <a:round/>
            </a:ln>
            <a:effectLst/>
          </c:spPr>
          <c:marker>
            <c:symbol val="circle"/>
            <c:size val="7"/>
            <c:spPr>
              <a:noFill/>
              <a:ln w="15875">
                <a:solidFill>
                  <a:schemeClr val="tx1"/>
                </a:solidFill>
              </a:ln>
              <a:effectLst/>
            </c:spPr>
          </c:marker>
          <c:xVal>
            <c:numRef>
              <c:f>m!$AF$88:$EL$88</c:f>
              <c:numCache>
                <c:formatCode>General</c:formatCode>
                <c:ptCount val="111"/>
                <c:pt idx="6">
                  <c:v>1.2077756213486157</c:v>
                </c:pt>
                <c:pt idx="7">
                  <c:v>1.1056289978340066</c:v>
                </c:pt>
                <c:pt idx="8">
                  <c:v>1.0251873368791706</c:v>
                </c:pt>
                <c:pt idx="9">
                  <c:v>0.95931262586627597</c:v>
                </c:pt>
                <c:pt idx="10">
                  <c:v>24.391892556467965</c:v>
                </c:pt>
                <c:pt idx="11">
                  <c:v>12.39314191041627</c:v>
                </c:pt>
                <c:pt idx="12">
                  <c:v>6.0526881112960602</c:v>
                </c:pt>
                <c:pt idx="13">
                  <c:v>3.7666895969175127</c:v>
                </c:pt>
                <c:pt idx="14">
                  <c:v>2.6785350127838461</c:v>
                </c:pt>
                <c:pt idx="16">
                  <c:v>1.8850320220016954</c:v>
                </c:pt>
                <c:pt idx="22">
                  <c:v>1.1515535876000997</c:v>
                </c:pt>
                <c:pt idx="29">
                  <c:v>16.152806707052129</c:v>
                </c:pt>
                <c:pt idx="30">
                  <c:v>8.0284894017907167</c:v>
                </c:pt>
                <c:pt idx="31">
                  <c:v>11.824562591088151</c:v>
                </c:pt>
                <c:pt idx="33">
                  <c:v>9.058449261180316</c:v>
                </c:pt>
                <c:pt idx="34">
                  <c:v>7.8664433508505711</c:v>
                </c:pt>
                <c:pt idx="36">
                  <c:v>30.065626016914369</c:v>
                </c:pt>
                <c:pt idx="37">
                  <c:v>22.639463651886633</c:v>
                </c:pt>
                <c:pt idx="38">
                  <c:v>16.656638164149282</c:v>
                </c:pt>
                <c:pt idx="39">
                  <c:v>15.021212136386572</c:v>
                </c:pt>
                <c:pt idx="40">
                  <c:v>13.951169656448213</c:v>
                </c:pt>
                <c:pt idx="41">
                  <c:v>13.01388949792244</c:v>
                </c:pt>
                <c:pt idx="42">
                  <c:v>11.766366373383427</c:v>
                </c:pt>
                <c:pt idx="43">
                  <c:v>11.269336129968526</c:v>
                </c:pt>
                <c:pt idx="44">
                  <c:v>11.170898139527413</c:v>
                </c:pt>
                <c:pt idx="45">
                  <c:v>11.960799378255555</c:v>
                </c:pt>
                <c:pt idx="46">
                  <c:v>27.162889586886486</c:v>
                </c:pt>
                <c:pt idx="47">
                  <c:v>12.912503702619032</c:v>
                </c:pt>
                <c:pt idx="48">
                  <c:v>12.021652336608035</c:v>
                </c:pt>
                <c:pt idx="49">
                  <c:v>11.232099961635724</c:v>
                </c:pt>
                <c:pt idx="50">
                  <c:v>11.693849947411628</c:v>
                </c:pt>
                <c:pt idx="51">
                  <c:v>11.223698400411086</c:v>
                </c:pt>
                <c:pt idx="52">
                  <c:v>10.86580831318318</c:v>
                </c:pt>
                <c:pt idx="62">
                  <c:v>14.967634874281726</c:v>
                </c:pt>
                <c:pt idx="63">
                  <c:v>10.859495391314089</c:v>
                </c:pt>
                <c:pt idx="64">
                  <c:v>8.4563881945228196</c:v>
                </c:pt>
                <c:pt idx="65">
                  <c:v>8.0451490313237208</c:v>
                </c:pt>
                <c:pt idx="66">
                  <c:v>7.3666796900735303</c:v>
                </c:pt>
                <c:pt idx="67">
                  <c:v>6.5196411657785642</c:v>
                </c:pt>
                <c:pt idx="68">
                  <c:v>6.3301131825501749</c:v>
                </c:pt>
                <c:pt idx="69">
                  <c:v>6.8827228840656973</c:v>
                </c:pt>
                <c:pt idx="70">
                  <c:v>7.0094627058965058</c:v>
                </c:pt>
                <c:pt idx="71">
                  <c:v>6.3298791757150115</c:v>
                </c:pt>
                <c:pt idx="72">
                  <c:v>6.6780438219414266</c:v>
                </c:pt>
                <c:pt idx="73">
                  <c:v>6.5385293353880218</c:v>
                </c:pt>
                <c:pt idx="74">
                  <c:v>6.9941799281985251</c:v>
                </c:pt>
                <c:pt idx="76">
                  <c:v>6.8232928038368632</c:v>
                </c:pt>
                <c:pt idx="77">
                  <c:v>18.904292224553938</c:v>
                </c:pt>
                <c:pt idx="80">
                  <c:v>4.9032420224881452</c:v>
                </c:pt>
                <c:pt idx="81">
                  <c:v>5.154905288650987</c:v>
                </c:pt>
                <c:pt idx="82">
                  <c:v>5.408353073811563</c:v>
                </c:pt>
                <c:pt idx="83">
                  <c:v>5.6648585615667919</c:v>
                </c:pt>
                <c:pt idx="84">
                  <c:v>6.0623627952754546</c:v>
                </c:pt>
                <c:pt idx="85">
                  <c:v>57.260760259312697</c:v>
                </c:pt>
                <c:pt idx="86">
                  <c:v>26.427104906202789</c:v>
                </c:pt>
                <c:pt idx="87">
                  <c:v>40.004296051188781</c:v>
                </c:pt>
                <c:pt idx="88">
                  <c:v>19.130558061300469</c:v>
                </c:pt>
                <c:pt idx="89">
                  <c:v>29.934930652950253</c:v>
                </c:pt>
                <c:pt idx="90">
                  <c:v>2.6231064436735849</c:v>
                </c:pt>
                <c:pt idx="91">
                  <c:v>3.0770338188674491</c:v>
                </c:pt>
                <c:pt idx="94">
                  <c:v>112.5027611445126</c:v>
                </c:pt>
                <c:pt idx="97">
                  <c:v>387.12046526060993</c:v>
                </c:pt>
                <c:pt idx="98">
                  <c:v>109.01295409328802</c:v>
                </c:pt>
                <c:pt idx="99">
                  <c:v>80.044164274946709</c:v>
                </c:pt>
                <c:pt idx="100">
                  <c:v>69.315374934098855</c:v>
                </c:pt>
                <c:pt idx="101">
                  <c:v>56.845340825747876</c:v>
                </c:pt>
                <c:pt idx="102">
                  <c:v>52.110362557298266</c:v>
                </c:pt>
                <c:pt idx="103">
                  <c:v>51.347614683737454</c:v>
                </c:pt>
                <c:pt idx="104">
                  <c:v>43.636818151904194</c:v>
                </c:pt>
                <c:pt idx="105">
                  <c:v>29.734510695495572</c:v>
                </c:pt>
                <c:pt idx="107">
                  <c:v>28.325629332891609</c:v>
                </c:pt>
                <c:pt idx="108">
                  <c:v>32.438035866153264</c:v>
                </c:pt>
                <c:pt idx="110">
                  <c:v>25.30851824555894</c:v>
                </c:pt>
              </c:numCache>
            </c:numRef>
          </c:xVal>
          <c:yVal>
            <c:numRef>
              <c:f>m!$AF$91:$EL$91</c:f>
              <c:numCache>
                <c:formatCode>General</c:formatCode>
                <c:ptCount val="111"/>
                <c:pt idx="6">
                  <c:v>3.9502776072221706</c:v>
                </c:pt>
                <c:pt idx="7">
                  <c:v>3.8204481933278442</c:v>
                </c:pt>
                <c:pt idx="8">
                  <c:v>2.8990463053331168</c:v>
                </c:pt>
                <c:pt idx="9">
                  <c:v>3.0460998559525874</c:v>
                </c:pt>
                <c:pt idx="10">
                  <c:v>3.9015319384578984</c:v>
                </c:pt>
                <c:pt idx="11">
                  <c:v>4.0324241551015083</c:v>
                </c:pt>
                <c:pt idx="12">
                  <c:v>2.4087539710783048</c:v>
                </c:pt>
                <c:pt idx="13">
                  <c:v>2.5988468550675954</c:v>
                </c:pt>
                <c:pt idx="14">
                  <c:v>2.4975377660733624</c:v>
                </c:pt>
                <c:pt idx="16">
                  <c:v>2.4940490859525726</c:v>
                </c:pt>
                <c:pt idx="22">
                  <c:v>2.077389993099553</c:v>
                </c:pt>
                <c:pt idx="29">
                  <c:v>3.887685418105959</c:v>
                </c:pt>
                <c:pt idx="30">
                  <c:v>3.0668865507265997</c:v>
                </c:pt>
                <c:pt idx="31">
                  <c:v>4.0491103337392174</c:v>
                </c:pt>
                <c:pt idx="33">
                  <c:v>5.6967108509424049</c:v>
                </c:pt>
                <c:pt idx="34">
                  <c:v>6.5764190171402976</c:v>
                </c:pt>
                <c:pt idx="36">
                  <c:v>5.968040531828132</c:v>
                </c:pt>
                <c:pt idx="37">
                  <c:v>8.1684741974599575</c:v>
                </c:pt>
                <c:pt idx="38">
                  <c:v>5.8007139352102666</c:v>
                </c:pt>
                <c:pt idx="39">
                  <c:v>6.0918131305765044</c:v>
                </c:pt>
                <c:pt idx="40">
                  <c:v>8.1174980313774423</c:v>
                </c:pt>
                <c:pt idx="41">
                  <c:v>6.4312736308774889</c:v>
                </c:pt>
                <c:pt idx="42">
                  <c:v>6.3480129336212183</c:v>
                </c:pt>
                <c:pt idx="43">
                  <c:v>5.821324467772973</c:v>
                </c:pt>
                <c:pt idx="44">
                  <c:v>5.7088959001580211</c:v>
                </c:pt>
                <c:pt idx="45">
                  <c:v>5.7910267374423983</c:v>
                </c:pt>
                <c:pt idx="46">
                  <c:v>5.7614092633504805</c:v>
                </c:pt>
                <c:pt idx="47">
                  <c:v>7.0551494435079265</c:v>
                </c:pt>
                <c:pt idx="48">
                  <c:v>6.007268732546347</c:v>
                </c:pt>
                <c:pt idx="49">
                  <c:v>5.930704023686789</c:v>
                </c:pt>
                <c:pt idx="50">
                  <c:v>5.5628819216625125</c:v>
                </c:pt>
                <c:pt idx="51">
                  <c:v>5.362533094226932</c:v>
                </c:pt>
                <c:pt idx="52">
                  <c:v>5.2407446165760785</c:v>
                </c:pt>
                <c:pt idx="62">
                  <c:v>4.5300019054238749</c:v>
                </c:pt>
                <c:pt idx="63">
                  <c:v>4.5178025027989275</c:v>
                </c:pt>
                <c:pt idx="64">
                  <c:v>3.3950746364407207</c:v>
                </c:pt>
                <c:pt idx="65">
                  <c:v>5.7763007234186681</c:v>
                </c:pt>
                <c:pt idx="66">
                  <c:v>4.3065710023871615</c:v>
                </c:pt>
                <c:pt idx="67">
                  <c:v>3.8827381995634402</c:v>
                </c:pt>
                <c:pt idx="68">
                  <c:v>3.2487249458002383</c:v>
                </c:pt>
                <c:pt idx="69">
                  <c:v>5.3426987492817899</c:v>
                </c:pt>
                <c:pt idx="70">
                  <c:v>5.6472978874878201</c:v>
                </c:pt>
                <c:pt idx="71">
                  <c:v>4.1587397095032008</c:v>
                </c:pt>
                <c:pt idx="72">
                  <c:v>4.7838482341628046</c:v>
                </c:pt>
                <c:pt idx="73">
                  <c:v>4.9225301746781893</c:v>
                </c:pt>
                <c:pt idx="74">
                  <c:v>4.8966046339725624</c:v>
                </c:pt>
                <c:pt idx="76">
                  <c:v>3.9966525665694972</c:v>
                </c:pt>
                <c:pt idx="77">
                  <c:v>4.6938071324304609</c:v>
                </c:pt>
                <c:pt idx="80">
                  <c:v>5.0267580592225674</c:v>
                </c:pt>
                <c:pt idx="81">
                  <c:v>4.6038320806672992</c:v>
                </c:pt>
                <c:pt idx="82">
                  <c:v>5.2977799679061315</c:v>
                </c:pt>
                <c:pt idx="83">
                  <c:v>4.5548018302270039</c:v>
                </c:pt>
                <c:pt idx="84">
                  <c:v>4.4326497440326262</c:v>
                </c:pt>
                <c:pt idx="85">
                  <c:v>6.7354522978189433</c:v>
                </c:pt>
                <c:pt idx="86">
                  <c:v>5.5850136200566656</c:v>
                </c:pt>
                <c:pt idx="87">
                  <c:v>5.4551141788760695</c:v>
                </c:pt>
                <c:pt idx="88">
                  <c:v>4.9167729735368271</c:v>
                </c:pt>
                <c:pt idx="89">
                  <c:v>4.8519257534729014</c:v>
                </c:pt>
                <c:pt idx="90">
                  <c:v>4.7537157090149353</c:v>
                </c:pt>
                <c:pt idx="91">
                  <c:v>4.327704405636295</c:v>
                </c:pt>
                <c:pt idx="94">
                  <c:v>5.9805420003862961</c:v>
                </c:pt>
                <c:pt idx="97">
                  <c:v>5.9773958684019037</c:v>
                </c:pt>
                <c:pt idx="98">
                  <c:v>5.8402406967730096</c:v>
                </c:pt>
                <c:pt idx="99">
                  <c:v>6.3259605248394033</c:v>
                </c:pt>
                <c:pt idx="100">
                  <c:v>7.7415138100193532</c:v>
                </c:pt>
                <c:pt idx="101">
                  <c:v>6.155654344805801</c:v>
                </c:pt>
                <c:pt idx="102">
                  <c:v>6.1121726207461435</c:v>
                </c:pt>
                <c:pt idx="103">
                  <c:v>6.157519329771306</c:v>
                </c:pt>
                <c:pt idx="104">
                  <c:v>5.4328051641445443</c:v>
                </c:pt>
                <c:pt idx="105">
                  <c:v>6.3578452876193943</c:v>
                </c:pt>
                <c:pt idx="107">
                  <c:v>5.2365612840392179</c:v>
                </c:pt>
                <c:pt idx="108">
                  <c:v>5.1665061144228064</c:v>
                </c:pt>
                <c:pt idx="110">
                  <c:v>5.0320384230931241</c:v>
                </c:pt>
              </c:numCache>
            </c:numRef>
          </c:yVal>
          <c:smooth val="0"/>
          <c:extLst>
            <c:ext xmlns:c16="http://schemas.microsoft.com/office/drawing/2014/chart" uri="{C3380CC4-5D6E-409C-BE32-E72D297353CC}">
              <c16:uniqueId val="{00000001-169D-4717-BB93-EA6862A579FE}"/>
            </c:ext>
          </c:extLst>
        </c:ser>
        <c:dLbls>
          <c:showLegendKey val="0"/>
          <c:showVal val="0"/>
          <c:showCatName val="0"/>
          <c:showSerName val="0"/>
          <c:showPercent val="0"/>
          <c:showBubbleSize val="0"/>
        </c:dLbls>
        <c:axId val="624399680"/>
        <c:axId val="624400008"/>
      </c:scatterChart>
      <c:valAx>
        <c:axId val="624399680"/>
        <c:scaling>
          <c:logBase val="10"/>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Normalized Effective Axial Force,  Ñ = N/(π</a:t>
                </a:r>
                <a:r>
                  <a:rPr lang="en-US" sz="1400" b="0" i="0" u="none" strike="noStrike" baseline="30000">
                    <a:effectLst/>
                  </a:rPr>
                  <a:t>2</a:t>
                </a:r>
                <a:r>
                  <a:rPr lang="en-US" sz="1400" b="0" i="0" u="none" strike="noStrike" baseline="0">
                    <a:effectLst/>
                  </a:rPr>
                  <a:t>EI/L</a:t>
                </a:r>
                <a:r>
                  <a:rPr lang="en-US" sz="1400" b="0" i="0" u="none" strike="noStrike" baseline="-25000">
                    <a:effectLst/>
                  </a:rPr>
                  <a:t>st</a:t>
                </a:r>
                <a:r>
                  <a:rPr lang="en-US" sz="1400" b="0" i="0" u="none" strike="noStrike" baseline="30000">
                    <a:effectLst/>
                  </a:rPr>
                  <a:t>2</a:t>
                </a:r>
                <a:r>
                  <a:rPr lang="en-US" sz="1400" b="0" i="0" u="none" strike="noStrike" baseline="0">
                    <a:effectLst/>
                  </a:rPr>
                  <a:t>)</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Normalized RMS bending strain amplitude,  ϵ̃ = ϵ/[(R</a:t>
                </a:r>
                <a:r>
                  <a:rPr lang="en-US" sz="1400" b="0" i="0" u="none" strike="noStrike" baseline="-25000">
                    <a:effectLst/>
                  </a:rPr>
                  <a:t>ϵ</a:t>
                </a:r>
                <a:r>
                  <a:rPr lang="en-US" sz="1400" b="0" i="0" u="none" strike="noStrike" baseline="0">
                    <a:effectLst/>
                  </a:rPr>
                  <a:t> D)/ L</a:t>
                </a:r>
                <a:r>
                  <a:rPr lang="en-US" sz="1400" b="0" i="0" u="none" strike="noStrike" baseline="-25000">
                    <a:effectLst/>
                  </a:rPr>
                  <a:t>st</a:t>
                </a:r>
                <a:r>
                  <a:rPr lang="en-US" sz="1400" b="0" i="0" u="none" strike="noStrike" baseline="30000">
                    <a:effectLst/>
                  </a:rPr>
                  <a:t>2</a:t>
                </a:r>
                <a:r>
                  <a:rPr lang="en-US" sz="1400" b="0" i="0" u="none" strike="noStrike" baseline="0">
                    <a:effectLst/>
                  </a:rPr>
                  <a:t>]</a:t>
                </a:r>
                <a:endParaRPr lang="en-US"/>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overlay val="0"/>
      <c:spPr>
        <a:solidFill>
          <a:sysClr val="window" lastClr="FFFFFF">
            <a:lumMod val="100000"/>
          </a:sysClr>
        </a:solidFill>
        <a:ln w="3175">
          <a:solidFill>
            <a:srgbClr val="C0C0C0"/>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Cross Flow</c:v>
          </c:tx>
          <c:spPr>
            <a:ln w="28575" cap="rnd">
              <a:noFill/>
              <a:round/>
            </a:ln>
            <a:effectLst/>
          </c:spPr>
          <c:marker>
            <c:symbol val="x"/>
            <c:size val="7"/>
            <c:spPr>
              <a:noFill/>
              <a:ln w="15875">
                <a:solidFill>
                  <a:schemeClr val="tx1"/>
                </a:solidFill>
              </a:ln>
              <a:effectLst/>
            </c:spPr>
          </c:marker>
          <c:xVal>
            <c:numRef>
              <c:f>m!$AF$88:$EL$88</c:f>
              <c:numCache>
                <c:formatCode>General</c:formatCode>
                <c:ptCount val="111"/>
                <c:pt idx="6">
                  <c:v>1.2077756213486157</c:v>
                </c:pt>
                <c:pt idx="7">
                  <c:v>1.1056289978340066</c:v>
                </c:pt>
                <c:pt idx="8">
                  <c:v>1.0251873368791706</c:v>
                </c:pt>
                <c:pt idx="9">
                  <c:v>0.95931262586627597</c:v>
                </c:pt>
                <c:pt idx="10">
                  <c:v>24.391892556467965</c:v>
                </c:pt>
                <c:pt idx="11">
                  <c:v>12.39314191041627</c:v>
                </c:pt>
                <c:pt idx="12">
                  <c:v>6.0526881112960602</c:v>
                </c:pt>
                <c:pt idx="13">
                  <c:v>3.7666895969175127</c:v>
                </c:pt>
                <c:pt idx="14">
                  <c:v>2.6785350127838461</c:v>
                </c:pt>
                <c:pt idx="16">
                  <c:v>1.8850320220016954</c:v>
                </c:pt>
                <c:pt idx="22">
                  <c:v>1.1515535876000997</c:v>
                </c:pt>
                <c:pt idx="29">
                  <c:v>16.152806707052129</c:v>
                </c:pt>
                <c:pt idx="30">
                  <c:v>8.0284894017907167</c:v>
                </c:pt>
                <c:pt idx="31">
                  <c:v>11.824562591088151</c:v>
                </c:pt>
                <c:pt idx="33">
                  <c:v>9.058449261180316</c:v>
                </c:pt>
                <c:pt idx="34">
                  <c:v>7.8664433508505711</c:v>
                </c:pt>
                <c:pt idx="36">
                  <c:v>30.065626016914369</c:v>
                </c:pt>
                <c:pt idx="37">
                  <c:v>22.639463651886633</c:v>
                </c:pt>
                <c:pt idx="38">
                  <c:v>16.656638164149282</c:v>
                </c:pt>
                <c:pt idx="39">
                  <c:v>15.021212136386572</c:v>
                </c:pt>
                <c:pt idx="40">
                  <c:v>13.951169656448213</c:v>
                </c:pt>
                <c:pt idx="41">
                  <c:v>13.01388949792244</c:v>
                </c:pt>
                <c:pt idx="42">
                  <c:v>11.766366373383427</c:v>
                </c:pt>
                <c:pt idx="43">
                  <c:v>11.269336129968526</c:v>
                </c:pt>
                <c:pt idx="44">
                  <c:v>11.170898139527413</c:v>
                </c:pt>
                <c:pt idx="45">
                  <c:v>11.960799378255555</c:v>
                </c:pt>
                <c:pt idx="46">
                  <c:v>27.162889586886486</c:v>
                </c:pt>
                <c:pt idx="47">
                  <c:v>12.912503702619032</c:v>
                </c:pt>
                <c:pt idx="48">
                  <c:v>12.021652336608035</c:v>
                </c:pt>
                <c:pt idx="49">
                  <c:v>11.232099961635724</c:v>
                </c:pt>
                <c:pt idx="50">
                  <c:v>11.693849947411628</c:v>
                </c:pt>
                <c:pt idx="51">
                  <c:v>11.223698400411086</c:v>
                </c:pt>
                <c:pt idx="52">
                  <c:v>10.86580831318318</c:v>
                </c:pt>
                <c:pt idx="62">
                  <c:v>14.967634874281726</c:v>
                </c:pt>
                <c:pt idx="63">
                  <c:v>10.859495391314089</c:v>
                </c:pt>
                <c:pt idx="64">
                  <c:v>8.4563881945228196</c:v>
                </c:pt>
                <c:pt idx="65">
                  <c:v>8.0451490313237208</c:v>
                </c:pt>
                <c:pt idx="66">
                  <c:v>7.3666796900735303</c:v>
                </c:pt>
                <c:pt idx="67">
                  <c:v>6.5196411657785642</c:v>
                </c:pt>
                <c:pt idx="68">
                  <c:v>6.3301131825501749</c:v>
                </c:pt>
                <c:pt idx="69">
                  <c:v>6.8827228840656973</c:v>
                </c:pt>
                <c:pt idx="70">
                  <c:v>7.0094627058965058</c:v>
                </c:pt>
                <c:pt idx="71">
                  <c:v>6.3298791757150115</c:v>
                </c:pt>
                <c:pt idx="72">
                  <c:v>6.6780438219414266</c:v>
                </c:pt>
                <c:pt idx="73">
                  <c:v>6.5385293353880218</c:v>
                </c:pt>
                <c:pt idx="74">
                  <c:v>6.9941799281985251</c:v>
                </c:pt>
                <c:pt idx="76">
                  <c:v>6.8232928038368632</c:v>
                </c:pt>
                <c:pt idx="77">
                  <c:v>18.904292224553938</c:v>
                </c:pt>
                <c:pt idx="80">
                  <c:v>4.9032420224881452</c:v>
                </c:pt>
                <c:pt idx="81">
                  <c:v>5.154905288650987</c:v>
                </c:pt>
                <c:pt idx="82">
                  <c:v>5.408353073811563</c:v>
                </c:pt>
                <c:pt idx="83">
                  <c:v>5.6648585615667919</c:v>
                </c:pt>
                <c:pt idx="84">
                  <c:v>6.0623627952754546</c:v>
                </c:pt>
                <c:pt idx="85">
                  <c:v>57.260760259312697</c:v>
                </c:pt>
                <c:pt idx="86">
                  <c:v>26.427104906202789</c:v>
                </c:pt>
                <c:pt idx="87">
                  <c:v>40.004296051188781</c:v>
                </c:pt>
                <c:pt idx="88">
                  <c:v>19.130558061300469</c:v>
                </c:pt>
                <c:pt idx="89">
                  <c:v>29.934930652950253</c:v>
                </c:pt>
                <c:pt idx="90">
                  <c:v>2.6231064436735849</c:v>
                </c:pt>
                <c:pt idx="91">
                  <c:v>3.0770338188674491</c:v>
                </c:pt>
                <c:pt idx="94">
                  <c:v>112.5027611445126</c:v>
                </c:pt>
                <c:pt idx="97">
                  <c:v>387.12046526060993</c:v>
                </c:pt>
                <c:pt idx="98">
                  <c:v>109.01295409328802</c:v>
                </c:pt>
                <c:pt idx="99">
                  <c:v>80.044164274946709</c:v>
                </c:pt>
                <c:pt idx="100">
                  <c:v>69.315374934098855</c:v>
                </c:pt>
                <c:pt idx="101">
                  <c:v>56.845340825747876</c:v>
                </c:pt>
                <c:pt idx="102">
                  <c:v>52.110362557298266</c:v>
                </c:pt>
                <c:pt idx="103">
                  <c:v>51.347614683737454</c:v>
                </c:pt>
                <c:pt idx="104">
                  <c:v>43.636818151904194</c:v>
                </c:pt>
                <c:pt idx="105">
                  <c:v>29.734510695495572</c:v>
                </c:pt>
                <c:pt idx="107">
                  <c:v>28.325629332891609</c:v>
                </c:pt>
                <c:pt idx="108">
                  <c:v>32.438035866153264</c:v>
                </c:pt>
                <c:pt idx="110">
                  <c:v>25.30851824555894</c:v>
                </c:pt>
              </c:numCache>
            </c:numRef>
          </c:xVal>
          <c:yVal>
            <c:numRef>
              <c:f>m!$AF$95:$EL$95</c:f>
              <c:numCache>
                <c:formatCode>General</c:formatCode>
                <c:ptCount val="111"/>
                <c:pt idx="6">
                  <c:v>6.0414806166082506</c:v>
                </c:pt>
                <c:pt idx="7">
                  <c:v>6.1292359928204512</c:v>
                </c:pt>
                <c:pt idx="8">
                  <c:v>5.2848958185987494</c:v>
                </c:pt>
                <c:pt idx="9">
                  <c:v>4.2979154085934459</c:v>
                </c:pt>
                <c:pt idx="10">
                  <c:v>5.0532147082786567</c:v>
                </c:pt>
                <c:pt idx="11">
                  <c:v>3.6133175421953494</c:v>
                </c:pt>
                <c:pt idx="12">
                  <c:v>4.4434942874585293</c:v>
                </c:pt>
                <c:pt idx="13">
                  <c:v>4.9154385147601225</c:v>
                </c:pt>
                <c:pt idx="14">
                  <c:v>5.3963977447979259</c:v>
                </c:pt>
                <c:pt idx="16">
                  <c:v>3.52255142553093</c:v>
                </c:pt>
                <c:pt idx="22">
                  <c:v>4.1401928182528742</c:v>
                </c:pt>
                <c:pt idx="29">
                  <c:v>4.490854651714832</c:v>
                </c:pt>
                <c:pt idx="30">
                  <c:v>4.8959517967458943</c:v>
                </c:pt>
                <c:pt idx="31">
                  <c:v>3.8939295934451761</c:v>
                </c:pt>
                <c:pt idx="33">
                  <c:v>10.120470713192889</c:v>
                </c:pt>
                <c:pt idx="34">
                  <c:v>8.9453772336192614</c:v>
                </c:pt>
                <c:pt idx="36">
                  <c:v>10.611578666711525</c:v>
                </c:pt>
                <c:pt idx="37">
                  <c:v>13.484969152564005</c:v>
                </c:pt>
                <c:pt idx="38">
                  <c:v>9.6684949677469909</c:v>
                </c:pt>
                <c:pt idx="39">
                  <c:v>10.056504925363537</c:v>
                </c:pt>
                <c:pt idx="40">
                  <c:v>11.387889643620143</c:v>
                </c:pt>
                <c:pt idx="41">
                  <c:v>9.5704123434084227</c:v>
                </c:pt>
                <c:pt idx="42">
                  <c:v>9.3655475104383363</c:v>
                </c:pt>
                <c:pt idx="43">
                  <c:v>7.9975610372982713</c:v>
                </c:pt>
                <c:pt idx="44">
                  <c:v>8.2532209331067783</c:v>
                </c:pt>
                <c:pt idx="45">
                  <c:v>7.954322186490991</c:v>
                </c:pt>
                <c:pt idx="46">
                  <c:v>10.007795801208351</c:v>
                </c:pt>
                <c:pt idx="47">
                  <c:v>9.8621963860643529</c:v>
                </c:pt>
                <c:pt idx="48">
                  <c:v>9.4519747608689038</c:v>
                </c:pt>
                <c:pt idx="49">
                  <c:v>7.5048349972577322</c:v>
                </c:pt>
                <c:pt idx="50">
                  <c:v>7.5765537722697776</c:v>
                </c:pt>
                <c:pt idx="51">
                  <c:v>6.4600890770907728</c:v>
                </c:pt>
                <c:pt idx="52">
                  <c:v>6.3590149916729768</c:v>
                </c:pt>
                <c:pt idx="62">
                  <c:v>7.230064864592558</c:v>
                </c:pt>
                <c:pt idx="63">
                  <c:v>7.8432795970043863</c:v>
                </c:pt>
                <c:pt idx="64">
                  <c:v>7.1611992718238096</c:v>
                </c:pt>
                <c:pt idx="65">
                  <c:v>8.5921413030732001</c:v>
                </c:pt>
                <c:pt idx="66">
                  <c:v>6.661272134560023</c:v>
                </c:pt>
                <c:pt idx="67">
                  <c:v>7.7435399296450607</c:v>
                </c:pt>
                <c:pt idx="68">
                  <c:v>6.1997981508460969</c:v>
                </c:pt>
                <c:pt idx="69">
                  <c:v>7.7408089896434431</c:v>
                </c:pt>
                <c:pt idx="70">
                  <c:v>8.6625983848095451</c:v>
                </c:pt>
                <c:pt idx="71">
                  <c:v>6.621771797238047</c:v>
                </c:pt>
                <c:pt idx="72">
                  <c:v>6.9659330774762003</c:v>
                </c:pt>
                <c:pt idx="73">
                  <c:v>7.1453382407870949</c:v>
                </c:pt>
                <c:pt idx="74">
                  <c:v>8.4516911292205865</c:v>
                </c:pt>
                <c:pt idx="76">
                  <c:v>6.0778760902500926</c:v>
                </c:pt>
                <c:pt idx="77">
                  <c:v>8.6619524722903734</c:v>
                </c:pt>
                <c:pt idx="80">
                  <c:v>7.3483443733593532</c:v>
                </c:pt>
                <c:pt idx="81">
                  <c:v>8.0072612621981989</c:v>
                </c:pt>
                <c:pt idx="82">
                  <c:v>7.0758839302446521</c:v>
                </c:pt>
                <c:pt idx="83">
                  <c:v>6.8389367669751673</c:v>
                </c:pt>
                <c:pt idx="84">
                  <c:v>6.2031731981670291</c:v>
                </c:pt>
                <c:pt idx="85">
                  <c:v>9.608322876774281</c:v>
                </c:pt>
                <c:pt idx="86">
                  <c:v>8.2080991638713332</c:v>
                </c:pt>
                <c:pt idx="87">
                  <c:v>10.795030638909601</c:v>
                </c:pt>
                <c:pt idx="88">
                  <c:v>9.9406684789797772</c:v>
                </c:pt>
                <c:pt idx="89">
                  <c:v>7.6699085645929568</c:v>
                </c:pt>
                <c:pt idx="90">
                  <c:v>6.1233547438995259</c:v>
                </c:pt>
                <c:pt idx="91">
                  <c:v>6.1359189433264092</c:v>
                </c:pt>
                <c:pt idx="94">
                  <c:v>11.627400337732656</c:v>
                </c:pt>
                <c:pt idx="97">
                  <c:v>11.841933921401584</c:v>
                </c:pt>
                <c:pt idx="98">
                  <c:v>10.112716420782542</c:v>
                </c:pt>
                <c:pt idx="99">
                  <c:v>10.75326981223963</c:v>
                </c:pt>
                <c:pt idx="100">
                  <c:v>12.593437950738654</c:v>
                </c:pt>
                <c:pt idx="101">
                  <c:v>9.9708079988168254</c:v>
                </c:pt>
                <c:pt idx="102">
                  <c:v>12.57159489291657</c:v>
                </c:pt>
                <c:pt idx="103">
                  <c:v>11.025393435074347</c:v>
                </c:pt>
                <c:pt idx="104">
                  <c:v>8.8729996804417208</c:v>
                </c:pt>
                <c:pt idx="105">
                  <c:v>12.254596368878824</c:v>
                </c:pt>
                <c:pt idx="107">
                  <c:v>9.2304269063872528</c:v>
                </c:pt>
                <c:pt idx="108">
                  <c:v>10.128045629794443</c:v>
                </c:pt>
                <c:pt idx="110">
                  <c:v>8.7481293899266319</c:v>
                </c:pt>
              </c:numCache>
            </c:numRef>
          </c:yVal>
          <c:smooth val="0"/>
          <c:extLst>
            <c:ext xmlns:c16="http://schemas.microsoft.com/office/drawing/2014/chart" uri="{C3380CC4-5D6E-409C-BE32-E72D297353CC}">
              <c16:uniqueId val="{00000000-B1C6-4D5F-8DB7-D1DA38D94514}"/>
            </c:ext>
          </c:extLst>
        </c:ser>
        <c:ser>
          <c:idx val="1"/>
          <c:order val="1"/>
          <c:tx>
            <c:v>In Line</c:v>
          </c:tx>
          <c:spPr>
            <a:ln w="25400" cap="rnd">
              <a:noFill/>
              <a:round/>
            </a:ln>
            <a:effectLst/>
          </c:spPr>
          <c:marker>
            <c:symbol val="circle"/>
            <c:size val="7"/>
            <c:spPr>
              <a:noFill/>
              <a:ln w="15875">
                <a:solidFill>
                  <a:schemeClr val="tx1"/>
                </a:solidFill>
              </a:ln>
              <a:effectLst/>
            </c:spPr>
          </c:marker>
          <c:xVal>
            <c:numRef>
              <c:f>m!$AF$88:$EL$88</c:f>
              <c:numCache>
                <c:formatCode>General</c:formatCode>
                <c:ptCount val="111"/>
                <c:pt idx="6">
                  <c:v>1.2077756213486157</c:v>
                </c:pt>
                <c:pt idx="7">
                  <c:v>1.1056289978340066</c:v>
                </c:pt>
                <c:pt idx="8">
                  <c:v>1.0251873368791706</c:v>
                </c:pt>
                <c:pt idx="9">
                  <c:v>0.95931262586627597</c:v>
                </c:pt>
                <c:pt idx="10">
                  <c:v>24.391892556467965</c:v>
                </c:pt>
                <c:pt idx="11">
                  <c:v>12.39314191041627</c:v>
                </c:pt>
                <c:pt idx="12">
                  <c:v>6.0526881112960602</c:v>
                </c:pt>
                <c:pt idx="13">
                  <c:v>3.7666895969175127</c:v>
                </c:pt>
                <c:pt idx="14">
                  <c:v>2.6785350127838461</c:v>
                </c:pt>
                <c:pt idx="16">
                  <c:v>1.8850320220016954</c:v>
                </c:pt>
                <c:pt idx="22">
                  <c:v>1.1515535876000997</c:v>
                </c:pt>
                <c:pt idx="29">
                  <c:v>16.152806707052129</c:v>
                </c:pt>
                <c:pt idx="30">
                  <c:v>8.0284894017907167</c:v>
                </c:pt>
                <c:pt idx="31">
                  <c:v>11.824562591088151</c:v>
                </c:pt>
                <c:pt idx="33">
                  <c:v>9.058449261180316</c:v>
                </c:pt>
                <c:pt idx="34">
                  <c:v>7.8664433508505711</c:v>
                </c:pt>
                <c:pt idx="36">
                  <c:v>30.065626016914369</c:v>
                </c:pt>
                <c:pt idx="37">
                  <c:v>22.639463651886633</c:v>
                </c:pt>
                <c:pt idx="38">
                  <c:v>16.656638164149282</c:v>
                </c:pt>
                <c:pt idx="39">
                  <c:v>15.021212136386572</c:v>
                </c:pt>
                <c:pt idx="40">
                  <c:v>13.951169656448213</c:v>
                </c:pt>
                <c:pt idx="41">
                  <c:v>13.01388949792244</c:v>
                </c:pt>
                <c:pt idx="42">
                  <c:v>11.766366373383427</c:v>
                </c:pt>
                <c:pt idx="43">
                  <c:v>11.269336129968526</c:v>
                </c:pt>
                <c:pt idx="44">
                  <c:v>11.170898139527413</c:v>
                </c:pt>
                <c:pt idx="45">
                  <c:v>11.960799378255555</c:v>
                </c:pt>
                <c:pt idx="46">
                  <c:v>27.162889586886486</c:v>
                </c:pt>
                <c:pt idx="47">
                  <c:v>12.912503702619032</c:v>
                </c:pt>
                <c:pt idx="48">
                  <c:v>12.021652336608035</c:v>
                </c:pt>
                <c:pt idx="49">
                  <c:v>11.232099961635724</c:v>
                </c:pt>
                <c:pt idx="50">
                  <c:v>11.693849947411628</c:v>
                </c:pt>
                <c:pt idx="51">
                  <c:v>11.223698400411086</c:v>
                </c:pt>
                <c:pt idx="52">
                  <c:v>10.86580831318318</c:v>
                </c:pt>
                <c:pt idx="62">
                  <c:v>14.967634874281726</c:v>
                </c:pt>
                <c:pt idx="63">
                  <c:v>10.859495391314089</c:v>
                </c:pt>
                <c:pt idx="64">
                  <c:v>8.4563881945228196</c:v>
                </c:pt>
                <c:pt idx="65">
                  <c:v>8.0451490313237208</c:v>
                </c:pt>
                <c:pt idx="66">
                  <c:v>7.3666796900735303</c:v>
                </c:pt>
                <c:pt idx="67">
                  <c:v>6.5196411657785642</c:v>
                </c:pt>
                <c:pt idx="68">
                  <c:v>6.3301131825501749</c:v>
                </c:pt>
                <c:pt idx="69">
                  <c:v>6.8827228840656973</c:v>
                </c:pt>
                <c:pt idx="70">
                  <c:v>7.0094627058965058</c:v>
                </c:pt>
                <c:pt idx="71">
                  <c:v>6.3298791757150115</c:v>
                </c:pt>
                <c:pt idx="72">
                  <c:v>6.6780438219414266</c:v>
                </c:pt>
                <c:pt idx="73">
                  <c:v>6.5385293353880218</c:v>
                </c:pt>
                <c:pt idx="74">
                  <c:v>6.9941799281985251</c:v>
                </c:pt>
                <c:pt idx="76">
                  <c:v>6.8232928038368632</c:v>
                </c:pt>
                <c:pt idx="77">
                  <c:v>18.904292224553938</c:v>
                </c:pt>
                <c:pt idx="80">
                  <c:v>4.9032420224881452</c:v>
                </c:pt>
                <c:pt idx="81">
                  <c:v>5.154905288650987</c:v>
                </c:pt>
                <c:pt idx="82">
                  <c:v>5.408353073811563</c:v>
                </c:pt>
                <c:pt idx="83">
                  <c:v>5.6648585615667919</c:v>
                </c:pt>
                <c:pt idx="84">
                  <c:v>6.0623627952754546</c:v>
                </c:pt>
                <c:pt idx="85">
                  <c:v>57.260760259312697</c:v>
                </c:pt>
                <c:pt idx="86">
                  <c:v>26.427104906202789</c:v>
                </c:pt>
                <c:pt idx="87">
                  <c:v>40.004296051188781</c:v>
                </c:pt>
                <c:pt idx="88">
                  <c:v>19.130558061300469</c:v>
                </c:pt>
                <c:pt idx="89">
                  <c:v>29.934930652950253</c:v>
                </c:pt>
                <c:pt idx="90">
                  <c:v>2.6231064436735849</c:v>
                </c:pt>
                <c:pt idx="91">
                  <c:v>3.0770338188674491</c:v>
                </c:pt>
                <c:pt idx="94">
                  <c:v>112.5027611445126</c:v>
                </c:pt>
                <c:pt idx="97">
                  <c:v>387.12046526060993</c:v>
                </c:pt>
                <c:pt idx="98">
                  <c:v>109.01295409328802</c:v>
                </c:pt>
                <c:pt idx="99">
                  <c:v>80.044164274946709</c:v>
                </c:pt>
                <c:pt idx="100">
                  <c:v>69.315374934098855</c:v>
                </c:pt>
                <c:pt idx="101">
                  <c:v>56.845340825747876</c:v>
                </c:pt>
                <c:pt idx="102">
                  <c:v>52.110362557298266</c:v>
                </c:pt>
                <c:pt idx="103">
                  <c:v>51.347614683737454</c:v>
                </c:pt>
                <c:pt idx="104">
                  <c:v>43.636818151904194</c:v>
                </c:pt>
                <c:pt idx="105">
                  <c:v>29.734510695495572</c:v>
                </c:pt>
                <c:pt idx="107">
                  <c:v>28.325629332891609</c:v>
                </c:pt>
                <c:pt idx="108">
                  <c:v>32.438035866153264</c:v>
                </c:pt>
                <c:pt idx="110">
                  <c:v>25.30851824555894</c:v>
                </c:pt>
              </c:numCache>
            </c:numRef>
          </c:xVal>
          <c:yVal>
            <c:numRef>
              <c:f>m!$AF$96:$EL$96</c:f>
              <c:numCache>
                <c:formatCode>General</c:formatCode>
                <c:ptCount val="111"/>
                <c:pt idx="6">
                  <c:v>4.6527598235675249</c:v>
                </c:pt>
                <c:pt idx="7">
                  <c:v>4.2805274655235781</c:v>
                </c:pt>
                <c:pt idx="8">
                  <c:v>3.4393569277814708</c:v>
                </c:pt>
                <c:pt idx="9">
                  <c:v>3.6129037340831314</c:v>
                </c:pt>
                <c:pt idx="10">
                  <c:v>5.4755784611121161</c:v>
                </c:pt>
                <c:pt idx="11">
                  <c:v>5.1682826595532747</c:v>
                </c:pt>
                <c:pt idx="12">
                  <c:v>3.0985995787371445</c:v>
                </c:pt>
                <c:pt idx="13">
                  <c:v>3.134879815279314</c:v>
                </c:pt>
                <c:pt idx="14">
                  <c:v>3.0033011206407316</c:v>
                </c:pt>
                <c:pt idx="16">
                  <c:v>2.9529997740314693</c:v>
                </c:pt>
                <c:pt idx="22">
                  <c:v>2.536745078640724</c:v>
                </c:pt>
                <c:pt idx="29">
                  <c:v>5.2461545091174413</c:v>
                </c:pt>
                <c:pt idx="30">
                  <c:v>3.8667689214808134</c:v>
                </c:pt>
                <c:pt idx="31">
                  <c:v>5.2126574434788768</c:v>
                </c:pt>
                <c:pt idx="33">
                  <c:v>7.7033235890944756</c:v>
                </c:pt>
                <c:pt idx="34">
                  <c:v>9.1444916587946974</c:v>
                </c:pt>
                <c:pt idx="36">
                  <c:v>8.7140648971788437</c:v>
                </c:pt>
                <c:pt idx="37">
                  <c:v>12.927157671770168</c:v>
                </c:pt>
                <c:pt idx="38">
                  <c:v>8.3600761384121469</c:v>
                </c:pt>
                <c:pt idx="39">
                  <c:v>8.9999781210833945</c:v>
                </c:pt>
                <c:pt idx="40">
                  <c:v>11.710147435168425</c:v>
                </c:pt>
                <c:pt idx="41">
                  <c:v>9.6604016799591612</c:v>
                </c:pt>
                <c:pt idx="42">
                  <c:v>8.9844518836473455</c:v>
                </c:pt>
                <c:pt idx="43">
                  <c:v>8.1478940601600911</c:v>
                </c:pt>
                <c:pt idx="44">
                  <c:v>7.9194530647955013</c:v>
                </c:pt>
                <c:pt idx="45">
                  <c:v>8.4688373486197897</c:v>
                </c:pt>
                <c:pt idx="46">
                  <c:v>8.1654266073084845</c:v>
                </c:pt>
                <c:pt idx="47">
                  <c:v>10.157317419596724</c:v>
                </c:pt>
                <c:pt idx="48">
                  <c:v>8.4459765120883326</c:v>
                </c:pt>
                <c:pt idx="49">
                  <c:v>8.8566927659923493</c:v>
                </c:pt>
                <c:pt idx="50">
                  <c:v>7.9864493524762779</c:v>
                </c:pt>
                <c:pt idx="51">
                  <c:v>7.5929751024784267</c:v>
                </c:pt>
                <c:pt idx="52">
                  <c:v>7.0417931291632536</c:v>
                </c:pt>
                <c:pt idx="62">
                  <c:v>6.6249810457925706</c:v>
                </c:pt>
                <c:pt idx="63">
                  <c:v>5.9447274054537775</c:v>
                </c:pt>
                <c:pt idx="64">
                  <c:v>4.3790295625014277</c:v>
                </c:pt>
                <c:pt idx="65">
                  <c:v>7.0215974595106143</c:v>
                </c:pt>
                <c:pt idx="66">
                  <c:v>5.4768436761823818</c:v>
                </c:pt>
                <c:pt idx="67">
                  <c:v>4.8822056936446092</c:v>
                </c:pt>
                <c:pt idx="68">
                  <c:v>4.4672288224686083</c:v>
                </c:pt>
                <c:pt idx="69">
                  <c:v>6.5369518717044457</c:v>
                </c:pt>
                <c:pt idx="70">
                  <c:v>7.9590472097189648</c:v>
                </c:pt>
                <c:pt idx="71">
                  <c:v>5.4878070883378705</c:v>
                </c:pt>
                <c:pt idx="72">
                  <c:v>6.5026988056572304</c:v>
                </c:pt>
                <c:pt idx="73">
                  <c:v>6.329848379965453</c:v>
                </c:pt>
                <c:pt idx="74">
                  <c:v>6.2013253457317621</c:v>
                </c:pt>
                <c:pt idx="76">
                  <c:v>5.2492619268133645</c:v>
                </c:pt>
                <c:pt idx="77">
                  <c:v>6.3209002515631276</c:v>
                </c:pt>
                <c:pt idx="80">
                  <c:v>6.4868297836002924</c:v>
                </c:pt>
                <c:pt idx="81">
                  <c:v>5.827620282954654</c:v>
                </c:pt>
                <c:pt idx="82">
                  <c:v>7.0663143302767422</c:v>
                </c:pt>
                <c:pt idx="83">
                  <c:v>5.9628619384453367</c:v>
                </c:pt>
                <c:pt idx="84">
                  <c:v>5.5226853762264438</c:v>
                </c:pt>
                <c:pt idx="85">
                  <c:v>9.7019903060697743</c:v>
                </c:pt>
                <c:pt idx="86">
                  <c:v>7.6053639768993335</c:v>
                </c:pt>
                <c:pt idx="87">
                  <c:v>7.5584542426748964</c:v>
                </c:pt>
                <c:pt idx="88">
                  <c:v>6.9427008530083283</c:v>
                </c:pt>
                <c:pt idx="89">
                  <c:v>6.4055240885023839</c:v>
                </c:pt>
                <c:pt idx="90">
                  <c:v>5.9595789339150782</c:v>
                </c:pt>
                <c:pt idx="91">
                  <c:v>5.8625018670641422</c:v>
                </c:pt>
                <c:pt idx="94">
                  <c:v>8.5837852954236631</c:v>
                </c:pt>
                <c:pt idx="97">
                  <c:v>8.0736939293288259</c:v>
                </c:pt>
                <c:pt idx="98">
                  <c:v>8.5723204770723118</c:v>
                </c:pt>
                <c:pt idx="99">
                  <c:v>9.3688715981853772</c:v>
                </c:pt>
                <c:pt idx="100">
                  <c:v>11.808645757253798</c:v>
                </c:pt>
                <c:pt idx="101">
                  <c:v>9.3027335683988124</c:v>
                </c:pt>
                <c:pt idx="102">
                  <c:v>8.8407959437509973</c:v>
                </c:pt>
                <c:pt idx="103">
                  <c:v>9.4797698241348378</c:v>
                </c:pt>
                <c:pt idx="104">
                  <c:v>7.8622566156607085</c:v>
                </c:pt>
                <c:pt idx="105">
                  <c:v>9.6176111415033159</c:v>
                </c:pt>
                <c:pt idx="107">
                  <c:v>7.4199267899654808</c:v>
                </c:pt>
                <c:pt idx="108">
                  <c:v>7.9053481326688049</c:v>
                </c:pt>
                <c:pt idx="110">
                  <c:v>7.3530728474436851</c:v>
                </c:pt>
              </c:numCache>
            </c:numRef>
          </c:yVal>
          <c:smooth val="0"/>
          <c:extLst>
            <c:ext xmlns:c16="http://schemas.microsoft.com/office/drawing/2014/chart" uri="{C3380CC4-5D6E-409C-BE32-E72D297353CC}">
              <c16:uniqueId val="{00000001-B1C6-4D5F-8DB7-D1DA38D94514}"/>
            </c:ext>
          </c:extLst>
        </c:ser>
        <c:dLbls>
          <c:showLegendKey val="0"/>
          <c:showVal val="0"/>
          <c:showCatName val="0"/>
          <c:showSerName val="0"/>
          <c:showPercent val="0"/>
          <c:showBubbleSize val="0"/>
        </c:dLbls>
        <c:axId val="624399680"/>
        <c:axId val="624400008"/>
      </c:scatterChart>
      <c:valAx>
        <c:axId val="624399680"/>
        <c:scaling>
          <c:orientation val="minMax"/>
        </c:scaling>
        <c:delete val="0"/>
        <c:axPos val="b"/>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Normalized Effective Axial Force,  Ñ = N/(π</a:t>
                </a:r>
                <a:r>
                  <a:rPr lang="en-US" sz="1400" b="0" i="0" u="none" strike="noStrike" baseline="30000">
                    <a:effectLst/>
                  </a:rPr>
                  <a:t>2</a:t>
                </a:r>
                <a:r>
                  <a:rPr lang="en-US" sz="1400" b="0" i="0" u="none" strike="noStrike" baseline="0">
                    <a:effectLst/>
                  </a:rPr>
                  <a:t>EI/L</a:t>
                </a:r>
                <a:r>
                  <a:rPr lang="en-US" sz="1400" b="0" i="0" u="none" strike="noStrike" baseline="-25000">
                    <a:effectLst/>
                  </a:rPr>
                  <a:t>st</a:t>
                </a:r>
                <a:r>
                  <a:rPr lang="en-US" sz="1400" b="0" i="0" u="none" strike="noStrike" baseline="30000">
                    <a:effectLst/>
                  </a:rPr>
                  <a:t>2</a:t>
                </a:r>
                <a:r>
                  <a:rPr lang="en-US" sz="1400" b="0" i="0" u="none" strike="noStrike" baseline="0">
                    <a:effectLst/>
                  </a:rPr>
                  <a:t>)</a:t>
                </a:r>
                <a:endParaRPr lang="en-US" sz="1800">
                  <a:effectLst/>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400008"/>
        <c:crosses val="autoZero"/>
        <c:crossBetween val="midCat"/>
      </c:valAx>
      <c:valAx>
        <c:axId val="624400008"/>
        <c:scaling>
          <c:orientation val="minMax"/>
        </c:scaling>
        <c:delete val="0"/>
        <c:axPos val="l"/>
        <c:majorGridlines>
          <c:spPr>
            <a:ln w="3175" cap="flat" cmpd="sng" algn="ctr">
              <a:solidFill>
                <a:srgbClr val="C0C0C0"/>
              </a:solidFill>
              <a:prstDash val="solid"/>
              <a:round/>
            </a:ln>
            <a:effectLst/>
          </c:spPr>
        </c:majorGridlines>
        <c:minorGridlines>
          <c:spPr>
            <a:ln w="3175" cap="flat" cmpd="sng" algn="ctr">
              <a:solidFill>
                <a:srgbClr val="CCCCFF"/>
              </a:solidFill>
              <a:prstDash val="solid"/>
              <a:round/>
            </a:ln>
            <a:effectLst/>
          </c:spPr>
        </c:min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r>
                  <a:rPr lang="en-US" sz="1400" b="0" i="0" u="none" strike="noStrike" baseline="0">
                    <a:effectLst/>
                  </a:rPr>
                  <a:t>Normalized Fatigue-Equivalent Strain Amplitude, ϵ̃</a:t>
                </a:r>
                <a:r>
                  <a:rPr lang="en-US" sz="1400" b="0" i="0" u="none" strike="noStrike" baseline="-25000">
                    <a:effectLst/>
                  </a:rPr>
                  <a:t>e</a:t>
                </a:r>
                <a:r>
                  <a:rPr lang="en-US" sz="1400" b="0" i="0" u="none" strike="noStrike" baseline="0">
                    <a:effectLst/>
                  </a:rPr>
                  <a:t> = ϵ</a:t>
                </a:r>
                <a:r>
                  <a:rPr lang="en-US" sz="1400" b="0" i="0" u="none" strike="noStrike" baseline="-25000">
                    <a:effectLst/>
                  </a:rPr>
                  <a:t>e</a:t>
                </a:r>
                <a:r>
                  <a:rPr lang="en-US" sz="1400" b="0" i="0" u="none" strike="noStrike" baseline="0">
                    <a:effectLst/>
                  </a:rPr>
                  <a:t>/(R</a:t>
                </a:r>
                <a:r>
                  <a:rPr lang="en-US" sz="1400" b="0" i="0" u="none" strike="noStrike" baseline="-25000">
                    <a:effectLst/>
                  </a:rPr>
                  <a:t>ϵ</a:t>
                </a:r>
                <a:r>
                  <a:rPr lang="en-US" sz="1400" b="0" i="0" u="none" strike="noStrike" baseline="0">
                    <a:effectLst/>
                  </a:rPr>
                  <a:t>D/L</a:t>
                </a:r>
                <a:r>
                  <a:rPr lang="en-US" sz="1400" b="0" i="0" u="none" strike="noStrike" baseline="-25000">
                    <a:effectLst/>
                  </a:rPr>
                  <a:t>st</a:t>
                </a:r>
                <a:r>
                  <a:rPr lang="en-US" sz="1400" b="0" i="0" u="none" strike="noStrike" baseline="30000">
                    <a:effectLst/>
                  </a:rPr>
                  <a:t>2</a:t>
                </a:r>
                <a:r>
                  <a:rPr lang="en-US" sz="1400" b="0" i="0" u="none" strike="noStrike" baseline="0">
                    <a:effectLst/>
                  </a:rPr>
                  <a:t>)</a:t>
                </a:r>
                <a:endParaRPr lang="en-US"/>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crossAx val="624399680"/>
        <c:crosses val="autoZero"/>
        <c:crossBetween val="midCat"/>
      </c:valAx>
      <c:spPr>
        <a:noFill/>
        <a:ln w="12700">
          <a:solidFill>
            <a:srgbClr val="808080"/>
          </a:solidFill>
          <a:prstDash val="solid"/>
        </a:ln>
        <a:effectLst/>
      </c:spPr>
    </c:plotArea>
    <c:legend>
      <c:legendPos val="r"/>
      <c:overlay val="0"/>
      <c:spPr>
        <a:solidFill>
          <a:sysClr val="window" lastClr="FFFFFF">
            <a:lumMod val="100000"/>
          </a:sysClr>
        </a:solidFill>
        <a:ln w="3175">
          <a:solidFill>
            <a:srgbClr val="C0C0C0"/>
          </a:solidFill>
          <a:prstDash val="solid"/>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a:ea typeface="Arial"/>
              <a:cs typeface="Arial"/>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400" u="none" strike="noStrike" baseline="0">
          <a:latin typeface="Arial"/>
          <a:ea typeface="Arial"/>
          <a:cs typeface="Aria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53.xml"/><Relationship Id="rId1" Type="http://schemas.openxmlformats.org/officeDocument/2006/relationships/chart" Target="../charts/chart52.xml"/><Relationship Id="rId4"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55.xml"/><Relationship Id="rId1" Type="http://schemas.openxmlformats.org/officeDocument/2006/relationships/chart" Target="../charts/chart54.xml"/><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7.xml"/><Relationship Id="rId13" Type="http://schemas.openxmlformats.org/officeDocument/2006/relationships/chart" Target="../charts/chart22.xml"/><Relationship Id="rId18" Type="http://schemas.openxmlformats.org/officeDocument/2006/relationships/chart" Target="../charts/chart27.xml"/><Relationship Id="rId3" Type="http://schemas.openxmlformats.org/officeDocument/2006/relationships/chart" Target="../charts/chart12.xml"/><Relationship Id="rId21" Type="http://schemas.openxmlformats.org/officeDocument/2006/relationships/chart" Target="../charts/chart30.xml"/><Relationship Id="rId7" Type="http://schemas.openxmlformats.org/officeDocument/2006/relationships/chart" Target="../charts/chart16.xml"/><Relationship Id="rId12" Type="http://schemas.openxmlformats.org/officeDocument/2006/relationships/chart" Target="../charts/chart21.xml"/><Relationship Id="rId17" Type="http://schemas.openxmlformats.org/officeDocument/2006/relationships/chart" Target="../charts/chart26.xml"/><Relationship Id="rId2" Type="http://schemas.openxmlformats.org/officeDocument/2006/relationships/chart" Target="../charts/chart11.xml"/><Relationship Id="rId16" Type="http://schemas.openxmlformats.org/officeDocument/2006/relationships/chart" Target="../charts/chart25.xml"/><Relationship Id="rId20" Type="http://schemas.openxmlformats.org/officeDocument/2006/relationships/chart" Target="../charts/chart29.xml"/><Relationship Id="rId1" Type="http://schemas.openxmlformats.org/officeDocument/2006/relationships/chart" Target="../charts/chart10.xml"/><Relationship Id="rId6" Type="http://schemas.openxmlformats.org/officeDocument/2006/relationships/chart" Target="../charts/chart15.xml"/><Relationship Id="rId11" Type="http://schemas.openxmlformats.org/officeDocument/2006/relationships/chart" Target="../charts/chart20.xml"/><Relationship Id="rId5" Type="http://schemas.openxmlformats.org/officeDocument/2006/relationships/chart" Target="../charts/chart14.xml"/><Relationship Id="rId15" Type="http://schemas.openxmlformats.org/officeDocument/2006/relationships/chart" Target="../charts/chart24.xml"/><Relationship Id="rId23" Type="http://schemas.openxmlformats.org/officeDocument/2006/relationships/chart" Target="../charts/chart32.xml"/><Relationship Id="rId10" Type="http://schemas.openxmlformats.org/officeDocument/2006/relationships/chart" Target="../charts/chart19.xml"/><Relationship Id="rId19" Type="http://schemas.openxmlformats.org/officeDocument/2006/relationships/chart" Target="../charts/chart28.xml"/><Relationship Id="rId4" Type="http://schemas.openxmlformats.org/officeDocument/2006/relationships/chart" Target="../charts/chart13.xml"/><Relationship Id="rId9" Type="http://schemas.openxmlformats.org/officeDocument/2006/relationships/chart" Target="../charts/chart18.xml"/><Relationship Id="rId14" Type="http://schemas.openxmlformats.org/officeDocument/2006/relationships/chart" Target="../charts/chart23.xml"/><Relationship Id="rId22" Type="http://schemas.openxmlformats.org/officeDocument/2006/relationships/chart" Target="../charts/chart31.xml"/></Relationships>
</file>

<file path=xl/drawings/_rels/drawing8.xml.rels><?xml version="1.0" encoding="UTF-8" standalone="yes"?>
<Relationships xmlns="http://schemas.openxmlformats.org/package/2006/relationships"><Relationship Id="rId8" Type="http://schemas.openxmlformats.org/officeDocument/2006/relationships/chart" Target="../charts/chart40.xml"/><Relationship Id="rId13" Type="http://schemas.openxmlformats.org/officeDocument/2006/relationships/chart" Target="../charts/chart45.xml"/><Relationship Id="rId3" Type="http://schemas.openxmlformats.org/officeDocument/2006/relationships/chart" Target="../charts/chart35.xml"/><Relationship Id="rId7" Type="http://schemas.openxmlformats.org/officeDocument/2006/relationships/chart" Target="../charts/chart39.xml"/><Relationship Id="rId12" Type="http://schemas.openxmlformats.org/officeDocument/2006/relationships/chart" Target="../charts/chart44.xml"/><Relationship Id="rId2" Type="http://schemas.openxmlformats.org/officeDocument/2006/relationships/chart" Target="../charts/chart34.xml"/><Relationship Id="rId1" Type="http://schemas.openxmlformats.org/officeDocument/2006/relationships/chart" Target="../charts/chart33.xml"/><Relationship Id="rId6" Type="http://schemas.openxmlformats.org/officeDocument/2006/relationships/chart" Target="../charts/chart38.xml"/><Relationship Id="rId11" Type="http://schemas.openxmlformats.org/officeDocument/2006/relationships/chart" Target="../charts/chart43.xml"/><Relationship Id="rId5" Type="http://schemas.openxmlformats.org/officeDocument/2006/relationships/chart" Target="../charts/chart37.xml"/><Relationship Id="rId15" Type="http://schemas.openxmlformats.org/officeDocument/2006/relationships/chart" Target="../charts/chart47.xml"/><Relationship Id="rId10" Type="http://schemas.openxmlformats.org/officeDocument/2006/relationships/chart" Target="../charts/chart42.xml"/><Relationship Id="rId4" Type="http://schemas.openxmlformats.org/officeDocument/2006/relationships/chart" Target="../charts/chart36.xml"/><Relationship Id="rId9" Type="http://schemas.openxmlformats.org/officeDocument/2006/relationships/chart" Target="../charts/chart41.xml"/><Relationship Id="rId14" Type="http://schemas.openxmlformats.org/officeDocument/2006/relationships/chart" Target="../charts/chart46.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chart" Target="../charts/chart48.xml"/><Relationship Id="rId4" Type="http://schemas.openxmlformats.org/officeDocument/2006/relationships/chart" Target="../charts/chart5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25</xdr:row>
          <xdr:rowOff>0</xdr:rowOff>
        </xdr:from>
        <xdr:to>
          <xdr:col>5</xdr:col>
          <xdr:colOff>657225</xdr:colOff>
          <xdr:row>26</xdr:row>
          <xdr:rowOff>19050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Open  Selected  Text File</a:t>
              </a:r>
            </a:p>
            <a:p>
              <a:pPr algn="ctr" rtl="0">
                <a:defRPr sz="1000"/>
              </a:pPr>
              <a:endParaRPr lang="en-US" sz="1000" b="0" i="0" u="none" strike="noStrike" baseline="0">
                <a:solidFill>
                  <a:srgbClr val="000000"/>
                </a:solidFill>
                <a:latin typeface="Arial"/>
                <a:cs typeface="Arial"/>
              </a:endParaRPr>
            </a:p>
          </xdr:txBody>
        </xdr:sp>
        <xdr:clientData fPrintsWithSheet="0"/>
      </xdr:twoCellAnchor>
    </mc:Choice>
    <mc:Fallback/>
  </mc:AlternateContent>
  <xdr:twoCellAnchor editAs="oneCell">
    <xdr:from>
      <xdr:col>1</xdr:col>
      <xdr:colOff>57150</xdr:colOff>
      <xdr:row>2</xdr:row>
      <xdr:rowOff>19050</xdr:rowOff>
    </xdr:from>
    <xdr:to>
      <xdr:col>12</xdr:col>
      <xdr:colOff>427075</xdr:colOff>
      <xdr:row>23</xdr:row>
      <xdr:rowOff>56720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71450" y="342900"/>
          <a:ext cx="12400000" cy="3438095"/>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0.17446</cdr:x>
      <cdr:y>0.0755</cdr:y>
    </cdr:from>
    <cdr:to>
      <cdr:x>0.59015</cdr:x>
      <cdr:y>0.28348</cdr:y>
    </cdr:to>
    <cdr:sp macro="" textlink="">
      <cdr:nvSpPr>
        <cdr:cNvPr id="2" name="TextBox 1">
          <a:extLst xmlns:a="http://schemas.openxmlformats.org/drawingml/2006/main">
            <a:ext uri="{FF2B5EF4-FFF2-40B4-BE49-F238E27FC236}">
              <a16:creationId xmlns:a16="http://schemas.microsoft.com/office/drawing/2014/main" id="{DD291C4D-BA68-4202-BEF6-A456D86C1EC4}"/>
            </a:ext>
          </a:extLst>
        </cdr:cNvPr>
        <cdr:cNvSpPr txBox="1"/>
      </cdr:nvSpPr>
      <cdr:spPr>
        <a:xfrm xmlns:a="http://schemas.openxmlformats.org/drawingml/2006/main">
          <a:off x="1990725" y="504825"/>
          <a:ext cx="4743450" cy="13906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userShapes>
</file>

<file path=xl/drawings/drawing11.xml><?xml version="1.0" encoding="utf-8"?>
<xdr:wsDr xmlns:xdr="http://schemas.openxmlformats.org/drawingml/2006/spreadsheetDrawing" xmlns:a="http://schemas.openxmlformats.org/drawingml/2006/main">
  <xdr:twoCellAnchor>
    <xdr:from>
      <xdr:col>4</xdr:col>
      <xdr:colOff>476249</xdr:colOff>
      <xdr:row>89</xdr:row>
      <xdr:rowOff>142875</xdr:rowOff>
    </xdr:from>
    <xdr:to>
      <xdr:col>23</xdr:col>
      <xdr:colOff>314324</xdr:colOff>
      <xdr:row>134</xdr:row>
      <xdr:rowOff>95250</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400050</xdr:colOff>
      <xdr:row>111</xdr:row>
      <xdr:rowOff>133350</xdr:rowOff>
    </xdr:from>
    <xdr:to>
      <xdr:col>15</xdr:col>
      <xdr:colOff>333375</xdr:colOff>
      <xdr:row>112</xdr:row>
      <xdr:rowOff>171450</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6724650" y="20707350"/>
          <a:ext cx="1762125" cy="2286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95250</xdr:colOff>
      <xdr:row>234</xdr:row>
      <xdr:rowOff>123824</xdr:rowOff>
    </xdr:from>
    <xdr:to>
      <xdr:col>25</xdr:col>
      <xdr:colOff>400050</xdr:colOff>
      <xdr:row>264</xdr:row>
      <xdr:rowOff>152399</xdr:rowOff>
    </xdr:to>
    <xdr:graphicFrame macro="">
      <xdr:nvGraphicFramePr>
        <xdr:cNvPr id="4" name="Chart 3">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9</xdr:col>
      <xdr:colOff>57150</xdr:colOff>
      <xdr:row>271</xdr:row>
      <xdr:rowOff>152400</xdr:rowOff>
    </xdr:from>
    <xdr:to>
      <xdr:col>16</xdr:col>
      <xdr:colOff>104208</xdr:colOff>
      <xdr:row>275</xdr:row>
      <xdr:rowOff>152305</xdr:rowOff>
    </xdr:to>
    <xdr:pic>
      <xdr:nvPicPr>
        <xdr:cNvPr id="5" name="Picture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3"/>
        <a:stretch>
          <a:fillRect/>
        </a:stretch>
      </xdr:blipFill>
      <xdr:spPr>
        <a:xfrm>
          <a:off x="4743450" y="51606450"/>
          <a:ext cx="4533333" cy="761905"/>
        </a:xfrm>
        <a:prstGeom prst="rect">
          <a:avLst/>
        </a:prstGeom>
      </xdr:spPr>
    </xdr:pic>
    <xdr:clientData/>
  </xdr:twoCellAnchor>
  <xdr:twoCellAnchor editAs="oneCell">
    <xdr:from>
      <xdr:col>17</xdr:col>
      <xdr:colOff>0</xdr:colOff>
      <xdr:row>271</xdr:row>
      <xdr:rowOff>0</xdr:rowOff>
    </xdr:from>
    <xdr:to>
      <xdr:col>25</xdr:col>
      <xdr:colOff>294629</xdr:colOff>
      <xdr:row>289</xdr:row>
      <xdr:rowOff>161476</xdr:rowOff>
    </xdr:to>
    <xdr:pic>
      <xdr:nvPicPr>
        <xdr:cNvPr id="6" name="Picture 5">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4"/>
        <a:stretch>
          <a:fillRect/>
        </a:stretch>
      </xdr:blipFill>
      <xdr:spPr>
        <a:xfrm>
          <a:off x="9782175" y="51454050"/>
          <a:ext cx="5171429" cy="359047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883920</xdr:colOff>
      <xdr:row>24</xdr:row>
      <xdr:rowOff>22860</xdr:rowOff>
    </xdr:from>
    <xdr:to>
      <xdr:col>21</xdr:col>
      <xdr:colOff>118110</xdr:colOff>
      <xdr:row>64</xdr:row>
      <xdr:rowOff>3810</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15240</xdr:colOff>
      <xdr:row>21</xdr:row>
      <xdr:rowOff>140970</xdr:rowOff>
    </xdr:from>
    <xdr:to>
      <xdr:col>11</xdr:col>
      <xdr:colOff>175260</xdr:colOff>
      <xdr:row>38</xdr:row>
      <xdr:rowOff>34290</xdr:rowOff>
    </xdr:to>
    <xdr:graphicFrame macro="">
      <xdr:nvGraphicFramePr>
        <xdr:cNvPr id="3" name="Chart 2">
          <a:extLst>
            <a:ext uri="{FF2B5EF4-FFF2-40B4-BE49-F238E27FC236}">
              <a16:creationId xmlns:a16="http://schemas.microsoft.com/office/drawing/2014/main" id="{00000000-0008-0000-0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68580</xdr:colOff>
      <xdr:row>39</xdr:row>
      <xdr:rowOff>152400</xdr:rowOff>
    </xdr:from>
    <xdr:to>
      <xdr:col>11</xdr:col>
      <xdr:colOff>481965</xdr:colOff>
      <xdr:row>59</xdr:row>
      <xdr:rowOff>18415</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06980" y="6690360"/>
          <a:ext cx="5046345" cy="3218815"/>
        </a:xfrm>
        <a:prstGeom prst="rect">
          <a:avLst/>
        </a:prstGeom>
        <a:noFill/>
      </xdr:spPr>
    </xdr:pic>
    <xdr:clientData/>
  </xdr:twoCellAnchor>
  <xdr:twoCellAnchor editAs="oneCell">
    <xdr:from>
      <xdr:col>10</xdr:col>
      <xdr:colOff>320040</xdr:colOff>
      <xdr:row>65</xdr:row>
      <xdr:rowOff>38100</xdr:rowOff>
    </xdr:from>
    <xdr:to>
      <xdr:col>29</xdr:col>
      <xdr:colOff>41797</xdr:colOff>
      <xdr:row>98</xdr:row>
      <xdr:rowOff>153599</xdr:rowOff>
    </xdr:to>
    <xdr:pic>
      <xdr:nvPicPr>
        <xdr:cNvPr id="5" name="Picture 4">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4"/>
        <a:stretch>
          <a:fillRect/>
        </a:stretch>
      </xdr:blipFill>
      <xdr:spPr>
        <a:xfrm>
          <a:off x="6598920" y="10934700"/>
          <a:ext cx="16142857" cy="56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xdr:colOff>
          <xdr:row>169</xdr:row>
          <xdr:rowOff>95250</xdr:rowOff>
        </xdr:from>
        <xdr:to>
          <xdr:col>4</xdr:col>
          <xdr:colOff>114300</xdr:colOff>
          <xdr:row>172</xdr:row>
          <xdr:rowOff>28575</xdr:rowOff>
        </xdr:to>
        <xdr:sp macro="" textlink="">
          <xdr:nvSpPr>
            <xdr:cNvPr id="3108" name="Button 36" hidden="1">
              <a:extLst>
                <a:ext uri="{63B3BB69-23CF-44E3-9099-C40C66FF867C}">
                  <a14:compatExt spid="_x0000_s3108"/>
                </a:ext>
                <a:ext uri="{FF2B5EF4-FFF2-40B4-BE49-F238E27FC236}">
                  <a16:creationId xmlns:a16="http://schemas.microsoft.com/office/drawing/2014/main" id="{00000000-0008-0000-0200-000024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Update Green Cells by Running SpanFat with upAET</a:t>
              </a:r>
            </a:p>
            <a:p>
              <a:pPr algn="ctr" rtl="0">
                <a:defRPr sz="1000"/>
              </a:pPr>
              <a:r>
                <a:rPr lang="en-US" sz="1000" b="0" i="0" u="none" strike="noStrike" baseline="0">
                  <a:solidFill>
                    <a:srgbClr val="000000"/>
                  </a:solidFill>
                  <a:latin typeface="Arial"/>
                  <a:cs typeface="Arial"/>
                </a:rPr>
                <a:t>(requires SpanFat.exe and r.bat files in CurrentFolder)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1143000</xdr:colOff>
          <xdr:row>216</xdr:row>
          <xdr:rowOff>28575</xdr:rowOff>
        </xdr:from>
        <xdr:to>
          <xdr:col>4</xdr:col>
          <xdr:colOff>142875</xdr:colOff>
          <xdr:row>217</xdr:row>
          <xdr:rowOff>9525</xdr:rowOff>
        </xdr:to>
        <xdr:sp macro="" textlink="">
          <xdr:nvSpPr>
            <xdr:cNvPr id="3111" name="Button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Adjust so that zchkSt=0.</a:t>
              </a:r>
            </a:p>
          </xdr:txBody>
        </xdr:sp>
        <xdr:clientData fPrintsWithSheet="0"/>
      </xdr:twoCellAnchor>
    </mc:Choice>
    <mc:Fallback/>
  </mc:AlternateContent>
  <xdr:twoCellAnchor>
    <xdr:from>
      <xdr:col>2</xdr:col>
      <xdr:colOff>152400</xdr:colOff>
      <xdr:row>388</xdr:row>
      <xdr:rowOff>9525</xdr:rowOff>
    </xdr:from>
    <xdr:to>
      <xdr:col>7</xdr:col>
      <xdr:colOff>1714500</xdr:colOff>
      <xdr:row>412</xdr:row>
      <xdr:rowOff>47625</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1685925</xdr:colOff>
      <xdr:row>388</xdr:row>
      <xdr:rowOff>57150</xdr:rowOff>
    </xdr:from>
    <xdr:to>
      <xdr:col>10</xdr:col>
      <xdr:colOff>238125</xdr:colOff>
      <xdr:row>412</xdr:row>
      <xdr:rowOff>95250</xdr:rowOff>
    </xdr:to>
    <xdr:graphicFrame macro="">
      <xdr:nvGraphicFramePr>
        <xdr:cNvPr id="6" name="Chart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388</xdr:row>
      <xdr:rowOff>0</xdr:rowOff>
    </xdr:from>
    <xdr:to>
      <xdr:col>22</xdr:col>
      <xdr:colOff>514350</xdr:colOff>
      <xdr:row>412</xdr:row>
      <xdr:rowOff>38100</xdr:rowOff>
    </xdr:to>
    <xdr:graphicFrame macro="">
      <xdr:nvGraphicFramePr>
        <xdr:cNvPr id="7" name="Chart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414</xdr:row>
      <xdr:rowOff>0</xdr:rowOff>
    </xdr:from>
    <xdr:to>
      <xdr:col>7</xdr:col>
      <xdr:colOff>1562100</xdr:colOff>
      <xdr:row>438</xdr:row>
      <xdr:rowOff>38100</xdr:rowOff>
    </xdr:to>
    <xdr:graphicFrame macro="">
      <xdr:nvGraphicFramePr>
        <xdr:cNvPr id="8" name="Chart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1905000</xdr:colOff>
          <xdr:row>257</xdr:row>
          <xdr:rowOff>28575</xdr:rowOff>
        </xdr:from>
        <xdr:to>
          <xdr:col>2</xdr:col>
          <xdr:colOff>2486025</xdr:colOff>
          <xdr:row>258</xdr:row>
          <xdr:rowOff>47625</xdr:rowOff>
        </xdr:to>
        <xdr:sp macro="" textlink="">
          <xdr:nvSpPr>
            <xdr:cNvPr id="3130" name="Button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upAETp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1924050</xdr:colOff>
          <xdr:row>266</xdr:row>
          <xdr:rowOff>0</xdr:rowOff>
        </xdr:from>
        <xdr:to>
          <xdr:col>3</xdr:col>
          <xdr:colOff>66675</xdr:colOff>
          <xdr:row>267</xdr:row>
          <xdr:rowOff>19050</xdr:rowOff>
        </xdr:to>
        <xdr:sp macro="" textlink="">
          <xdr:nvSpPr>
            <xdr:cNvPr id="3133" name="Button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upAETap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275</xdr:row>
          <xdr:rowOff>133350</xdr:rowOff>
        </xdr:from>
        <xdr:to>
          <xdr:col>2</xdr:col>
          <xdr:colOff>2028825</xdr:colOff>
          <xdr:row>276</xdr:row>
          <xdr:rowOff>142875</xdr:rowOff>
        </xdr:to>
        <xdr:sp macro="" textlink="">
          <xdr:nvSpPr>
            <xdr:cNvPr id="3134" name="Button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Update Table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742950</xdr:colOff>
          <xdr:row>177</xdr:row>
          <xdr:rowOff>114300</xdr:rowOff>
        </xdr:from>
        <xdr:to>
          <xdr:col>2</xdr:col>
          <xdr:colOff>1323975</xdr:colOff>
          <xdr:row>178</xdr:row>
          <xdr:rowOff>133350</xdr:rowOff>
        </xdr:to>
        <xdr:sp macro="" textlink="">
          <xdr:nvSpPr>
            <xdr:cNvPr id="3137" name="Button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upAETa</a:t>
              </a:r>
            </a:p>
          </xdr:txBody>
        </xdr:sp>
        <xdr:clientData fPrintsWithSheet="0"/>
      </xdr:twoCellAnchor>
    </mc:Choice>
    <mc:Fallback/>
  </mc:AlternateContent>
  <xdr:twoCellAnchor>
    <xdr:from>
      <xdr:col>7</xdr:col>
      <xdr:colOff>2533649</xdr:colOff>
      <xdr:row>414</xdr:row>
      <xdr:rowOff>57149</xdr:rowOff>
    </xdr:from>
    <xdr:to>
      <xdr:col>13</xdr:col>
      <xdr:colOff>609599</xdr:colOff>
      <xdr:row>443</xdr:row>
      <xdr:rowOff>180974</xdr:rowOff>
    </xdr:to>
    <xdr:graphicFrame macro="">
      <xdr:nvGraphicFramePr>
        <xdr:cNvPr id="12" name="Chart 11">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66675</xdr:colOff>
          <xdr:row>0</xdr:row>
          <xdr:rowOff>38100</xdr:rowOff>
        </xdr:from>
        <xdr:to>
          <xdr:col>31</xdr:col>
          <xdr:colOff>619125</xdr:colOff>
          <xdr:row>1</xdr:row>
          <xdr:rowOff>47625</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Update Calculated Cells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828675</xdr:colOff>
          <xdr:row>0</xdr:row>
          <xdr:rowOff>57150</xdr:rowOff>
        </xdr:from>
        <xdr:to>
          <xdr:col>33</xdr:col>
          <xdr:colOff>866775</xdr:colOff>
          <xdr:row>1</xdr:row>
          <xdr:rowOff>47625</xdr:rowOff>
        </xdr:to>
        <xdr:sp macro="" textlink="">
          <xdr:nvSpPr>
            <xdr:cNvPr id="4103" name="Button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Delelete Excluded Cases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0</xdr:row>
          <xdr:rowOff>38100</xdr:rowOff>
        </xdr:from>
        <xdr:to>
          <xdr:col>36</xdr:col>
          <xdr:colOff>752475</xdr:colOff>
          <xdr:row>1</xdr:row>
          <xdr:rowOff>57150</xdr:rowOff>
        </xdr:to>
        <xdr:sp macro="" textlink="">
          <xdr:nvSpPr>
            <xdr:cNvPr id="4116" name="Button 20" hidden="1">
              <a:extLst>
                <a:ext uri="{63B3BB69-23CF-44E3-9099-C40C66FF867C}">
                  <a14:compatExt spid="_x0000_s4116"/>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Delete Excluded Prototype CAses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xdr:col>
      <xdr:colOff>0</xdr:colOff>
      <xdr:row>1</xdr:row>
      <xdr:rowOff>0</xdr:rowOff>
    </xdr:from>
    <xdr:to>
      <xdr:col>19</xdr:col>
      <xdr:colOff>561975</xdr:colOff>
      <xdr:row>42</xdr:row>
      <xdr:rowOff>47625</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44</xdr:row>
      <xdr:rowOff>0</xdr:rowOff>
    </xdr:from>
    <xdr:to>
      <xdr:col>19</xdr:col>
      <xdr:colOff>561975</xdr:colOff>
      <xdr:row>85</xdr:row>
      <xdr:rowOff>47625</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0</xdr:colOff>
      <xdr:row>1</xdr:row>
      <xdr:rowOff>0</xdr:rowOff>
    </xdr:from>
    <xdr:to>
      <xdr:col>38</xdr:col>
      <xdr:colOff>561975</xdr:colOff>
      <xdr:row>42</xdr:row>
      <xdr:rowOff>47625</xdr:rowOff>
    </xdr:to>
    <xdr:graphicFrame macro="">
      <xdr:nvGraphicFramePr>
        <xdr:cNvPr id="4" name="Chart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0</xdr:colOff>
      <xdr:row>44</xdr:row>
      <xdr:rowOff>0</xdr:rowOff>
    </xdr:from>
    <xdr:to>
      <xdr:col>38</xdr:col>
      <xdr:colOff>561975</xdr:colOff>
      <xdr:row>85</xdr:row>
      <xdr:rowOff>47625</xdr:rowOff>
    </xdr:to>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132</xdr:col>
      <xdr:colOff>0</xdr:colOff>
      <xdr:row>44</xdr:row>
      <xdr:rowOff>0</xdr:rowOff>
    </xdr:from>
    <xdr:to>
      <xdr:col>149</xdr:col>
      <xdr:colOff>561975</xdr:colOff>
      <xdr:row>85</xdr:row>
      <xdr:rowOff>47625</xdr:rowOff>
    </xdr:to>
    <xdr:graphicFrame macro="">
      <xdr:nvGraphicFramePr>
        <xdr:cNvPr id="23" name="Chart 22">
          <a:extLst>
            <a:ext uri="{FF2B5EF4-FFF2-40B4-BE49-F238E27FC236}">
              <a16:creationId xmlns:a16="http://schemas.microsoft.com/office/drawing/2014/main" id="{00000000-0008-0000-05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151</xdr:col>
      <xdr:colOff>0</xdr:colOff>
      <xdr:row>44</xdr:row>
      <xdr:rowOff>0</xdr:rowOff>
    </xdr:from>
    <xdr:to>
      <xdr:col>168</xdr:col>
      <xdr:colOff>561975</xdr:colOff>
      <xdr:row>85</xdr:row>
      <xdr:rowOff>47625</xdr:rowOff>
    </xdr:to>
    <xdr:graphicFrame macro="">
      <xdr:nvGraphicFramePr>
        <xdr:cNvPr id="24" name="Chart 23">
          <a:extLst>
            <a:ext uri="{FF2B5EF4-FFF2-40B4-BE49-F238E27FC236}">
              <a16:creationId xmlns:a16="http://schemas.microsoft.com/office/drawing/2014/main" id="{00000000-0008-0000-05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170</xdr:col>
      <xdr:colOff>19050</xdr:colOff>
      <xdr:row>44</xdr:row>
      <xdr:rowOff>9525</xdr:rowOff>
    </xdr:from>
    <xdr:to>
      <xdr:col>187</xdr:col>
      <xdr:colOff>581025</xdr:colOff>
      <xdr:row>85</xdr:row>
      <xdr:rowOff>57150</xdr:rowOff>
    </xdr:to>
    <xdr:graphicFrame macro="">
      <xdr:nvGraphicFramePr>
        <xdr:cNvPr id="25" name="Chart 24">
          <a:extLst>
            <a:ext uri="{FF2B5EF4-FFF2-40B4-BE49-F238E27FC236}">
              <a16:creationId xmlns:a16="http://schemas.microsoft.com/office/drawing/2014/main" id="{00000000-0008-0000-05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189</xdr:col>
      <xdr:colOff>95250</xdr:colOff>
      <xdr:row>44</xdr:row>
      <xdr:rowOff>9525</xdr:rowOff>
    </xdr:from>
    <xdr:to>
      <xdr:col>207</xdr:col>
      <xdr:colOff>47625</xdr:colOff>
      <xdr:row>85</xdr:row>
      <xdr:rowOff>57150</xdr:rowOff>
    </xdr:to>
    <xdr:graphicFrame macro="">
      <xdr:nvGraphicFramePr>
        <xdr:cNvPr id="26" name="Chart 25">
          <a:extLst>
            <a:ext uri="{FF2B5EF4-FFF2-40B4-BE49-F238E27FC236}">
              <a16:creationId xmlns:a16="http://schemas.microsoft.com/office/drawing/2014/main" id="{00000000-0008-0000-05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113</xdr:col>
      <xdr:colOff>0</xdr:colOff>
      <xdr:row>44</xdr:row>
      <xdr:rowOff>0</xdr:rowOff>
    </xdr:from>
    <xdr:to>
      <xdr:col>130</xdr:col>
      <xdr:colOff>561975</xdr:colOff>
      <xdr:row>85</xdr:row>
      <xdr:rowOff>47625</xdr:rowOff>
    </xdr:to>
    <xdr:graphicFrame macro="">
      <xdr:nvGraphicFramePr>
        <xdr:cNvPr id="22" name="Chart 21">
          <a:extLst>
            <a:ext uri="{FF2B5EF4-FFF2-40B4-BE49-F238E27FC236}">
              <a16:creationId xmlns:a16="http://schemas.microsoft.com/office/drawing/2014/main" id="{00000000-0008-0000-05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94</xdr:col>
      <xdr:colOff>9525</xdr:colOff>
      <xdr:row>44</xdr:row>
      <xdr:rowOff>0</xdr:rowOff>
    </xdr:from>
    <xdr:to>
      <xdr:col>111</xdr:col>
      <xdr:colOff>571500</xdr:colOff>
      <xdr:row>85</xdr:row>
      <xdr:rowOff>47625</xdr:rowOff>
    </xdr:to>
    <xdr:graphicFrame macro="">
      <xdr:nvGraphicFramePr>
        <xdr:cNvPr id="21" name="Chart 20">
          <a:extLst>
            <a:ext uri="{FF2B5EF4-FFF2-40B4-BE49-F238E27FC236}">
              <a16:creationId xmlns:a16="http://schemas.microsoft.com/office/drawing/2014/main" id="{00000000-0008-0000-0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75</xdr:col>
      <xdr:colOff>133350</xdr:colOff>
      <xdr:row>44</xdr:row>
      <xdr:rowOff>0</xdr:rowOff>
    </xdr:from>
    <xdr:to>
      <xdr:col>93</xdr:col>
      <xdr:colOff>85725</xdr:colOff>
      <xdr:row>85</xdr:row>
      <xdr:rowOff>47625</xdr:rowOff>
    </xdr:to>
    <xdr:graphicFrame macro="">
      <xdr:nvGraphicFramePr>
        <xdr:cNvPr id="20" name="Chart 19">
          <a:extLst>
            <a:ext uri="{FF2B5EF4-FFF2-40B4-BE49-F238E27FC236}">
              <a16:creationId xmlns:a16="http://schemas.microsoft.com/office/drawing/2014/main" id="{00000000-0008-0000-0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56</xdr:col>
      <xdr:colOff>295275</xdr:colOff>
      <xdr:row>44</xdr:row>
      <xdr:rowOff>0</xdr:rowOff>
    </xdr:from>
    <xdr:to>
      <xdr:col>74</xdr:col>
      <xdr:colOff>247650</xdr:colOff>
      <xdr:row>85</xdr:row>
      <xdr:rowOff>47625</xdr:rowOff>
    </xdr:to>
    <xdr:graphicFrame macro="">
      <xdr:nvGraphicFramePr>
        <xdr:cNvPr id="14" name="Chart 13">
          <a:extLst>
            <a:ext uri="{FF2B5EF4-FFF2-40B4-BE49-F238E27FC236}">
              <a16:creationId xmlns:a16="http://schemas.microsoft.com/office/drawing/2014/main" id="{00000000-0008-0000-05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0</xdr:colOff>
      <xdr:row>1</xdr:row>
      <xdr:rowOff>0</xdr:rowOff>
    </xdr:from>
    <xdr:to>
      <xdr:col>19</xdr:col>
      <xdr:colOff>561975</xdr:colOff>
      <xdr:row>42</xdr:row>
      <xdr:rowOff>47625</xdr:rowOff>
    </xdr:to>
    <xdr:graphicFrame macro="">
      <xdr:nvGraphicFramePr>
        <xdr:cNvPr id="4" name="Chart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0</xdr:colOff>
      <xdr:row>44</xdr:row>
      <xdr:rowOff>0</xdr:rowOff>
    </xdr:from>
    <xdr:to>
      <xdr:col>19</xdr:col>
      <xdr:colOff>561975</xdr:colOff>
      <xdr:row>85</xdr:row>
      <xdr:rowOff>47625</xdr:rowOff>
    </xdr:to>
    <xdr:graphicFrame macro="">
      <xdr:nvGraphicFramePr>
        <xdr:cNvPr id="15" name="Chart 14">
          <a:extLst>
            <a:ext uri="{FF2B5EF4-FFF2-40B4-BE49-F238E27FC236}">
              <a16:creationId xmlns:a16="http://schemas.microsoft.com/office/drawing/2014/main" id="{00000000-0008-0000-0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20</xdr:col>
      <xdr:colOff>0</xdr:colOff>
      <xdr:row>0</xdr:row>
      <xdr:rowOff>133350</xdr:rowOff>
    </xdr:from>
    <xdr:to>
      <xdr:col>37</xdr:col>
      <xdr:colOff>561975</xdr:colOff>
      <xdr:row>42</xdr:row>
      <xdr:rowOff>19050</xdr:rowOff>
    </xdr:to>
    <xdr:graphicFrame macro="">
      <xdr:nvGraphicFramePr>
        <xdr:cNvPr id="16" name="Chart 15">
          <a:extLst>
            <a:ext uri="{FF2B5EF4-FFF2-40B4-BE49-F238E27FC236}">
              <a16:creationId xmlns:a16="http://schemas.microsoft.com/office/drawing/2014/main" id="{00000000-0008-0000-0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20</xdr:col>
      <xdr:colOff>0</xdr:colOff>
      <xdr:row>44</xdr:row>
      <xdr:rowOff>0</xdr:rowOff>
    </xdr:from>
    <xdr:to>
      <xdr:col>37</xdr:col>
      <xdr:colOff>561975</xdr:colOff>
      <xdr:row>85</xdr:row>
      <xdr:rowOff>47625</xdr:rowOff>
    </xdr:to>
    <xdr:graphicFrame macro="">
      <xdr:nvGraphicFramePr>
        <xdr:cNvPr id="17" name="Chart 16">
          <a:extLst>
            <a:ext uri="{FF2B5EF4-FFF2-40B4-BE49-F238E27FC236}">
              <a16:creationId xmlns:a16="http://schemas.microsoft.com/office/drawing/2014/main" id="{00000000-0008-0000-0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38</xdr:col>
      <xdr:colOff>0</xdr:colOff>
      <xdr:row>1</xdr:row>
      <xdr:rowOff>0</xdr:rowOff>
    </xdr:from>
    <xdr:to>
      <xdr:col>55</xdr:col>
      <xdr:colOff>561975</xdr:colOff>
      <xdr:row>42</xdr:row>
      <xdr:rowOff>47625</xdr:rowOff>
    </xdr:to>
    <xdr:graphicFrame macro="">
      <xdr:nvGraphicFramePr>
        <xdr:cNvPr id="18" name="Chart 17">
          <a:extLst>
            <a:ext uri="{FF2B5EF4-FFF2-40B4-BE49-F238E27FC236}">
              <a16:creationId xmlns:a16="http://schemas.microsoft.com/office/drawing/2014/main" id="{00000000-0008-0000-0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38</xdr:col>
      <xdr:colOff>0</xdr:colOff>
      <xdr:row>44</xdr:row>
      <xdr:rowOff>0</xdr:rowOff>
    </xdr:from>
    <xdr:to>
      <xdr:col>55</xdr:col>
      <xdr:colOff>561975</xdr:colOff>
      <xdr:row>85</xdr:row>
      <xdr:rowOff>47625</xdr:rowOff>
    </xdr:to>
    <xdr:graphicFrame macro="">
      <xdr:nvGraphicFramePr>
        <xdr:cNvPr id="19" name="Chart 18">
          <a:extLst>
            <a:ext uri="{FF2B5EF4-FFF2-40B4-BE49-F238E27FC236}">
              <a16:creationId xmlns:a16="http://schemas.microsoft.com/office/drawing/2014/main" id="{00000000-0008-0000-0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0</xdr:colOff>
      <xdr:row>62</xdr:row>
      <xdr:rowOff>123825</xdr:rowOff>
    </xdr:from>
    <xdr:to>
      <xdr:col>302</xdr:col>
      <xdr:colOff>123825</xdr:colOff>
      <xdr:row>62</xdr:row>
      <xdr:rowOff>123825</xdr:rowOff>
    </xdr:to>
    <xdr:cxnSp macro="">
      <xdr:nvCxnSpPr>
        <xdr:cNvPr id="3" name="Straight Connector 2">
          <a:extLst>
            <a:ext uri="{FF2B5EF4-FFF2-40B4-BE49-F238E27FC236}">
              <a16:creationId xmlns:a16="http://schemas.microsoft.com/office/drawing/2014/main" id="{00000000-0008-0000-0500-000003000000}"/>
            </a:ext>
          </a:extLst>
        </xdr:cNvPr>
        <xdr:cNvCxnSpPr/>
      </xdr:nvCxnSpPr>
      <xdr:spPr>
        <a:xfrm>
          <a:off x="838200" y="10163175"/>
          <a:ext cx="1828800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11</xdr:row>
      <xdr:rowOff>76200</xdr:rowOff>
    </xdr:from>
    <xdr:to>
      <xdr:col>61</xdr:col>
      <xdr:colOff>381000</xdr:colOff>
      <xdr:row>11</xdr:row>
      <xdr:rowOff>76200</xdr:rowOff>
    </xdr:to>
    <xdr:cxnSp macro="">
      <xdr:nvCxnSpPr>
        <xdr:cNvPr id="12" name="Straight Connector 11">
          <a:extLst>
            <a:ext uri="{FF2B5EF4-FFF2-40B4-BE49-F238E27FC236}">
              <a16:creationId xmlns:a16="http://schemas.microsoft.com/office/drawing/2014/main" id="{00000000-0008-0000-0500-00000C000000}"/>
            </a:ext>
          </a:extLst>
        </xdr:cNvPr>
        <xdr:cNvCxnSpPr/>
      </xdr:nvCxnSpPr>
      <xdr:spPr>
        <a:xfrm>
          <a:off x="0" y="1857375"/>
          <a:ext cx="365760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89</xdr:row>
      <xdr:rowOff>0</xdr:rowOff>
    </xdr:from>
    <xdr:to>
      <xdr:col>19</xdr:col>
      <xdr:colOff>561975</xdr:colOff>
      <xdr:row>130</xdr:row>
      <xdr:rowOff>47625</xdr:rowOff>
    </xdr:to>
    <xdr:graphicFrame macro="">
      <xdr:nvGraphicFramePr>
        <xdr:cNvPr id="29" name="Chart 28">
          <a:extLst>
            <a:ext uri="{FF2B5EF4-FFF2-40B4-BE49-F238E27FC236}">
              <a16:creationId xmlns:a16="http://schemas.microsoft.com/office/drawing/2014/main" id="{00000000-0008-0000-05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20</xdr:col>
      <xdr:colOff>0</xdr:colOff>
      <xdr:row>89</xdr:row>
      <xdr:rowOff>0</xdr:rowOff>
    </xdr:from>
    <xdr:to>
      <xdr:col>37</xdr:col>
      <xdr:colOff>561975</xdr:colOff>
      <xdr:row>130</xdr:row>
      <xdr:rowOff>47625</xdr:rowOff>
    </xdr:to>
    <xdr:graphicFrame macro="">
      <xdr:nvGraphicFramePr>
        <xdr:cNvPr id="30" name="Chart 29">
          <a:extLst>
            <a:ext uri="{FF2B5EF4-FFF2-40B4-BE49-F238E27FC236}">
              <a16:creationId xmlns:a16="http://schemas.microsoft.com/office/drawing/2014/main" id="{00000000-0008-0000-05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9525</xdr:colOff>
      <xdr:row>132</xdr:row>
      <xdr:rowOff>47625</xdr:rowOff>
    </xdr:from>
    <xdr:to>
      <xdr:col>19</xdr:col>
      <xdr:colOff>571500</xdr:colOff>
      <xdr:row>173</xdr:row>
      <xdr:rowOff>95250</xdr:rowOff>
    </xdr:to>
    <xdr:graphicFrame macro="">
      <xdr:nvGraphicFramePr>
        <xdr:cNvPr id="28" name="Chart 27">
          <a:extLst>
            <a:ext uri="{FF2B5EF4-FFF2-40B4-BE49-F238E27FC236}">
              <a16:creationId xmlns:a16="http://schemas.microsoft.com/office/drawing/2014/main" id="{00000000-0008-0000-05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0</xdr:colOff>
      <xdr:row>176</xdr:row>
      <xdr:rowOff>0</xdr:rowOff>
    </xdr:from>
    <xdr:to>
      <xdr:col>19</xdr:col>
      <xdr:colOff>561975</xdr:colOff>
      <xdr:row>217</xdr:row>
      <xdr:rowOff>47625</xdr:rowOff>
    </xdr:to>
    <xdr:graphicFrame macro="">
      <xdr:nvGraphicFramePr>
        <xdr:cNvPr id="31" name="Chart 30">
          <a:extLst>
            <a:ext uri="{FF2B5EF4-FFF2-40B4-BE49-F238E27FC236}">
              <a16:creationId xmlns:a16="http://schemas.microsoft.com/office/drawing/2014/main" id="{00000000-0008-0000-05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xdr:col>
      <xdr:colOff>0</xdr:colOff>
      <xdr:row>219</xdr:row>
      <xdr:rowOff>0</xdr:rowOff>
    </xdr:from>
    <xdr:to>
      <xdr:col>19</xdr:col>
      <xdr:colOff>561975</xdr:colOff>
      <xdr:row>260</xdr:row>
      <xdr:rowOff>47625</xdr:rowOff>
    </xdr:to>
    <xdr:graphicFrame macro="">
      <xdr:nvGraphicFramePr>
        <xdr:cNvPr id="32" name="Chart 31">
          <a:extLst>
            <a:ext uri="{FF2B5EF4-FFF2-40B4-BE49-F238E27FC236}">
              <a16:creationId xmlns:a16="http://schemas.microsoft.com/office/drawing/2014/main" id="{00000000-0008-0000-05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xdr:col>
      <xdr:colOff>0</xdr:colOff>
      <xdr:row>262</xdr:row>
      <xdr:rowOff>0</xdr:rowOff>
    </xdr:from>
    <xdr:to>
      <xdr:col>19</xdr:col>
      <xdr:colOff>561975</xdr:colOff>
      <xdr:row>303</xdr:row>
      <xdr:rowOff>47625</xdr:rowOff>
    </xdr:to>
    <xdr:graphicFrame macro="">
      <xdr:nvGraphicFramePr>
        <xdr:cNvPr id="27" name="Chart 26">
          <a:extLst>
            <a:ext uri="{FF2B5EF4-FFF2-40B4-BE49-F238E27FC236}">
              <a16:creationId xmlns:a16="http://schemas.microsoft.com/office/drawing/2014/main" id="{00000000-0008-0000-05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208</xdr:col>
      <xdr:colOff>0</xdr:colOff>
      <xdr:row>44</xdr:row>
      <xdr:rowOff>0</xdr:rowOff>
    </xdr:from>
    <xdr:to>
      <xdr:col>226</xdr:col>
      <xdr:colOff>438150</xdr:colOff>
      <xdr:row>85</xdr:row>
      <xdr:rowOff>47625</xdr:rowOff>
    </xdr:to>
    <xdr:graphicFrame macro="">
      <xdr:nvGraphicFramePr>
        <xdr:cNvPr id="33" name="Chart 32">
          <a:extLst>
            <a:ext uri="{FF2B5EF4-FFF2-40B4-BE49-F238E27FC236}">
              <a16:creationId xmlns:a16="http://schemas.microsoft.com/office/drawing/2014/main" id="{00000000-0008-0000-05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21</xdr:col>
      <xdr:colOff>0</xdr:colOff>
      <xdr:row>262</xdr:row>
      <xdr:rowOff>0</xdr:rowOff>
    </xdr:from>
    <xdr:to>
      <xdr:col>39</xdr:col>
      <xdr:colOff>438150</xdr:colOff>
      <xdr:row>303</xdr:row>
      <xdr:rowOff>47625</xdr:rowOff>
    </xdr:to>
    <xdr:graphicFrame macro="">
      <xdr:nvGraphicFramePr>
        <xdr:cNvPr id="35" name="Chart 34">
          <a:extLst>
            <a:ext uri="{FF2B5EF4-FFF2-40B4-BE49-F238E27FC236}">
              <a16:creationId xmlns:a16="http://schemas.microsoft.com/office/drawing/2014/main" id="{00000000-0008-0000-05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21</xdr:col>
      <xdr:colOff>0</xdr:colOff>
      <xdr:row>176</xdr:row>
      <xdr:rowOff>0</xdr:rowOff>
    </xdr:from>
    <xdr:to>
      <xdr:col>39</xdr:col>
      <xdr:colOff>438150</xdr:colOff>
      <xdr:row>217</xdr:row>
      <xdr:rowOff>47625</xdr:rowOff>
    </xdr:to>
    <xdr:graphicFrame macro="">
      <xdr:nvGraphicFramePr>
        <xdr:cNvPr id="34" name="Chart 33">
          <a:extLst>
            <a:ext uri="{FF2B5EF4-FFF2-40B4-BE49-F238E27FC236}">
              <a16:creationId xmlns:a16="http://schemas.microsoft.com/office/drawing/2014/main" id="{00000000-0008-0000-05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oneCellAnchor>
    <xdr:from>
      <xdr:col>30</xdr:col>
      <xdr:colOff>133350</xdr:colOff>
      <xdr:row>178</xdr:row>
      <xdr:rowOff>47625</xdr:rowOff>
    </xdr:from>
    <xdr:ext cx="2495042" cy="264560"/>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7916525" y="28870275"/>
          <a:ext cx="2495042" cy="264560"/>
        </a:xfrm>
        <a:prstGeom prst="rect">
          <a:avLst/>
        </a:prstGeom>
        <a:solidFill>
          <a:schemeClr val="bg1"/>
        </a:solidFill>
        <a:ln>
          <a:solidFill>
            <a:schemeClr val="bg1">
              <a:lumMod val="6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Arch Action Included in F105 Calculation</a:t>
          </a:r>
        </a:p>
      </xdr:txBody>
    </xdr:sp>
    <xdr:clientData/>
  </xdr:oneCellAnchor>
</xdr:wsDr>
</file>

<file path=xl/drawings/drawing6.xml><?xml version="1.0" encoding="utf-8"?>
<c:userShapes xmlns:c="http://schemas.openxmlformats.org/drawingml/2006/chart">
  <cdr:relSizeAnchor xmlns:cdr="http://schemas.openxmlformats.org/drawingml/2006/chartDrawing">
    <cdr:from>
      <cdr:x>0.42487</cdr:x>
      <cdr:y>0.61396</cdr:y>
    </cdr:from>
    <cdr:to>
      <cdr:x>0.64775</cdr:x>
      <cdr:y>0.7094</cdr:y>
    </cdr:to>
    <cdr:sp macro="" textlink="">
      <cdr:nvSpPr>
        <cdr:cNvPr id="2" name="TextBox 1">
          <a:extLst xmlns:a="http://schemas.openxmlformats.org/drawingml/2006/main">
            <a:ext uri="{FF2B5EF4-FFF2-40B4-BE49-F238E27FC236}">
              <a16:creationId xmlns:a16="http://schemas.microsoft.com/office/drawing/2014/main" id="{31E05DE5-F0BB-4A06-B1A4-3814E35327C2}"/>
            </a:ext>
          </a:extLst>
        </cdr:cNvPr>
        <cdr:cNvSpPr txBox="1"/>
      </cdr:nvSpPr>
      <cdr:spPr>
        <a:xfrm xmlns:a="http://schemas.openxmlformats.org/drawingml/2006/main">
          <a:off x="4848224" y="4105274"/>
          <a:ext cx="2543176" cy="638175"/>
        </a:xfrm>
        <a:prstGeom xmlns:a="http://schemas.openxmlformats.org/drawingml/2006/main" prst="rect">
          <a:avLst/>
        </a:prstGeom>
        <a:solidFill xmlns:a="http://schemas.openxmlformats.org/drawingml/2006/main">
          <a:schemeClr val="bg1"/>
        </a:solidFill>
        <a:ln xmlns:a="http://schemas.openxmlformats.org/drawingml/2006/main">
          <a:solidFill>
            <a:schemeClr val="bg1">
              <a:lumMod val="65000"/>
            </a:schemeClr>
          </a:solidFill>
        </a:ln>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600">
              <a:effectLst/>
              <a:latin typeface="+mn-lt"/>
              <a:ea typeface="+mn-ea"/>
              <a:cs typeface="+mn-cs"/>
            </a:rPr>
            <a:t>CF fit:  ϵ̃</a:t>
          </a:r>
          <a:r>
            <a:rPr lang="en-US" sz="1600" baseline="-25000">
              <a:effectLst/>
              <a:latin typeface="+mn-lt"/>
              <a:ea typeface="+mn-ea"/>
              <a:cs typeface="+mn-cs"/>
            </a:rPr>
            <a:t>e</a:t>
          </a:r>
          <a:r>
            <a:rPr lang="en-US" sz="1600">
              <a:effectLst/>
              <a:latin typeface="+mn-lt"/>
              <a:ea typeface="+mn-ea"/>
              <a:cs typeface="+mn-cs"/>
            </a:rPr>
            <a:t> = 2.62 L̃</a:t>
          </a:r>
          <a:r>
            <a:rPr lang="en-US" sz="1600" baseline="30000">
              <a:effectLst/>
              <a:latin typeface="+mn-lt"/>
              <a:ea typeface="+mn-ea"/>
              <a:cs typeface="+mn-cs"/>
            </a:rPr>
            <a:t>0.155</a:t>
          </a:r>
          <a:r>
            <a:rPr lang="en-US" sz="1600">
              <a:effectLst/>
              <a:latin typeface="+mn-lt"/>
              <a:ea typeface="+mn-ea"/>
              <a:cs typeface="+mn-cs"/>
            </a:rPr>
            <a:t> Ñ</a:t>
          </a:r>
          <a:r>
            <a:rPr lang="en-US" sz="1600" baseline="30000">
              <a:effectLst/>
              <a:latin typeface="+mn-lt"/>
              <a:ea typeface="+mn-ea"/>
              <a:cs typeface="+mn-cs"/>
            </a:rPr>
            <a:t>0.203</a:t>
          </a:r>
          <a:br>
            <a:rPr lang="en-US" sz="1600">
              <a:effectLst/>
              <a:latin typeface="+mn-lt"/>
              <a:ea typeface="+mn-ea"/>
              <a:cs typeface="+mn-cs"/>
            </a:rPr>
          </a:br>
          <a:r>
            <a:rPr lang="en-US" sz="1600">
              <a:effectLst/>
              <a:latin typeface="+mn-lt"/>
              <a:ea typeface="+mn-ea"/>
              <a:cs typeface="+mn-cs"/>
            </a:rPr>
            <a:t>IL  fit:  ϵ̃</a:t>
          </a:r>
          <a:r>
            <a:rPr lang="en-US" sz="1600" baseline="-25000">
              <a:effectLst/>
              <a:latin typeface="+mn-lt"/>
              <a:ea typeface="+mn-ea"/>
              <a:cs typeface="+mn-cs"/>
            </a:rPr>
            <a:t>e</a:t>
          </a:r>
          <a:r>
            <a:rPr lang="en-US" sz="1600">
              <a:effectLst/>
              <a:latin typeface="+mn-lt"/>
              <a:ea typeface="+mn-ea"/>
              <a:cs typeface="+mn-cs"/>
            </a:rPr>
            <a:t> = 2.32 L̃</a:t>
          </a:r>
          <a:r>
            <a:rPr lang="en-US" sz="1600" baseline="30000">
              <a:effectLst/>
              <a:latin typeface="+mn-lt"/>
              <a:ea typeface="+mn-ea"/>
              <a:cs typeface="+mn-cs"/>
            </a:rPr>
            <a:t>0.216</a:t>
          </a:r>
          <a:r>
            <a:rPr lang="en-US" sz="1600">
              <a:effectLst/>
              <a:latin typeface="+mn-lt"/>
              <a:ea typeface="+mn-ea"/>
              <a:cs typeface="+mn-cs"/>
            </a:rPr>
            <a:t> Ñ</a:t>
          </a:r>
          <a:r>
            <a:rPr lang="en-US" sz="1600" baseline="30000">
              <a:effectLst/>
              <a:latin typeface="+mn-lt"/>
              <a:ea typeface="+mn-ea"/>
              <a:cs typeface="+mn-cs"/>
            </a:rPr>
            <a:t>0.233</a:t>
          </a:r>
          <a:endParaRPr lang="en-US" sz="1600">
            <a:effectLst/>
            <a:latin typeface="+mn-lt"/>
            <a:ea typeface="+mn-ea"/>
            <a:cs typeface="+mn-cs"/>
          </a:endParaRPr>
        </a:p>
        <a:p xmlns:a="http://schemas.openxmlformats.org/drawingml/2006/main">
          <a:endParaRPr lang="en-US" sz="1600"/>
        </a:p>
      </cdr:txBody>
    </cdr:sp>
  </cdr:relSizeAnchor>
</c:userShapes>
</file>

<file path=xl/drawings/drawing7.xml><?xml version="1.0" encoding="utf-8"?>
<c:userShapes xmlns:c="http://schemas.openxmlformats.org/drawingml/2006/chart">
  <cdr:relSizeAnchor xmlns:cdr="http://schemas.openxmlformats.org/drawingml/2006/chartDrawing">
    <cdr:from>
      <cdr:x>0.42487</cdr:x>
      <cdr:y>0.61396</cdr:y>
    </cdr:from>
    <cdr:to>
      <cdr:x>0.70701</cdr:x>
      <cdr:y>0.7151</cdr:y>
    </cdr:to>
    <cdr:sp macro="" textlink="">
      <cdr:nvSpPr>
        <cdr:cNvPr id="2" name="TextBox 1">
          <a:extLst xmlns:a="http://schemas.openxmlformats.org/drawingml/2006/main">
            <a:ext uri="{FF2B5EF4-FFF2-40B4-BE49-F238E27FC236}">
              <a16:creationId xmlns:a16="http://schemas.microsoft.com/office/drawing/2014/main" id="{31E05DE5-F0BB-4A06-B1A4-3814E35327C2}"/>
            </a:ext>
          </a:extLst>
        </cdr:cNvPr>
        <cdr:cNvSpPr txBox="1"/>
      </cdr:nvSpPr>
      <cdr:spPr>
        <a:xfrm xmlns:a="http://schemas.openxmlformats.org/drawingml/2006/main">
          <a:off x="4848170" y="4105274"/>
          <a:ext cx="3219505" cy="676276"/>
        </a:xfrm>
        <a:prstGeom xmlns:a="http://schemas.openxmlformats.org/drawingml/2006/main" prst="rect">
          <a:avLst/>
        </a:prstGeom>
        <a:solidFill xmlns:a="http://schemas.openxmlformats.org/drawingml/2006/main">
          <a:schemeClr val="bg1"/>
        </a:solidFill>
        <a:ln xmlns:a="http://schemas.openxmlformats.org/drawingml/2006/main">
          <a:solidFill>
            <a:schemeClr val="bg1">
              <a:lumMod val="65000"/>
            </a:schemeClr>
          </a:solidFill>
        </a:ln>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600">
              <a:effectLst/>
              <a:latin typeface="+mn-lt"/>
              <a:ea typeface="+mn-ea"/>
              <a:cs typeface="+mn-cs"/>
            </a:rPr>
            <a:t>CF fit:  ϵ̃</a:t>
          </a:r>
          <a:r>
            <a:rPr lang="en-US" sz="1600" baseline="-25000">
              <a:effectLst/>
              <a:latin typeface="+mn-lt"/>
              <a:ea typeface="+mn-ea"/>
              <a:cs typeface="+mn-cs"/>
            </a:rPr>
            <a:t>e</a:t>
          </a:r>
          <a:r>
            <a:rPr lang="en-US" sz="1600">
              <a:effectLst/>
              <a:latin typeface="+mn-lt"/>
              <a:ea typeface="+mn-ea"/>
              <a:cs typeface="+mn-cs"/>
            </a:rPr>
            <a:t> = 4.90 L̃</a:t>
          </a:r>
          <a:r>
            <a:rPr lang="en-US" sz="1600" baseline="30000">
              <a:effectLst/>
              <a:latin typeface="+mn-lt"/>
              <a:ea typeface="+mn-ea"/>
              <a:cs typeface="+mn-cs"/>
            </a:rPr>
            <a:t>0.152</a:t>
          </a:r>
          <a:r>
            <a:rPr lang="en-US" sz="1600">
              <a:effectLst/>
              <a:latin typeface="+mn-lt"/>
              <a:ea typeface="+mn-ea"/>
              <a:cs typeface="+mn-cs"/>
            </a:rPr>
            <a:t> Ñ</a:t>
          </a:r>
          <a:r>
            <a:rPr lang="en-US" sz="1600" baseline="30000">
              <a:effectLst/>
              <a:latin typeface="+mn-lt"/>
              <a:ea typeface="+mn-ea"/>
              <a:cs typeface="+mn-cs"/>
            </a:rPr>
            <a:t>0.157</a:t>
          </a:r>
          <a:r>
            <a:rPr lang="en-US" sz="1600">
              <a:effectLst/>
              <a:latin typeface="+mn-lt"/>
              <a:ea typeface="+mn-ea"/>
              <a:cs typeface="+mn-cs"/>
            </a:rPr>
            <a:t> m̃</a:t>
          </a:r>
          <a:r>
            <a:rPr lang="en-US" sz="1600" baseline="30000">
              <a:effectLst/>
              <a:latin typeface="+mn-lt"/>
              <a:ea typeface="+mn-ea"/>
              <a:cs typeface="+mn-cs"/>
            </a:rPr>
            <a:t>-0.593</a:t>
          </a:r>
          <a:br>
            <a:rPr lang="en-US" sz="1600">
              <a:effectLst/>
              <a:latin typeface="+mn-lt"/>
              <a:ea typeface="+mn-ea"/>
              <a:cs typeface="+mn-cs"/>
            </a:rPr>
          </a:br>
          <a:r>
            <a:rPr lang="en-US" sz="1600">
              <a:effectLst/>
              <a:latin typeface="+mn-lt"/>
              <a:ea typeface="+mn-ea"/>
              <a:cs typeface="+mn-cs"/>
            </a:rPr>
            <a:t>IL  fit:  ϵ̃</a:t>
          </a:r>
          <a:r>
            <a:rPr lang="en-US" sz="1600" baseline="-25000">
              <a:effectLst/>
              <a:latin typeface="+mn-lt"/>
              <a:ea typeface="+mn-ea"/>
              <a:cs typeface="+mn-cs"/>
            </a:rPr>
            <a:t>e</a:t>
          </a:r>
          <a:r>
            <a:rPr lang="en-US" sz="1600">
              <a:effectLst/>
              <a:latin typeface="+mn-lt"/>
              <a:ea typeface="+mn-ea"/>
              <a:cs typeface="+mn-cs"/>
            </a:rPr>
            <a:t> = 2.72 L̃</a:t>
          </a:r>
          <a:r>
            <a:rPr lang="en-US" sz="1600" baseline="30000">
              <a:effectLst/>
              <a:latin typeface="+mn-lt"/>
              <a:ea typeface="+mn-ea"/>
              <a:cs typeface="+mn-cs"/>
            </a:rPr>
            <a:t>0.215</a:t>
          </a:r>
          <a:r>
            <a:rPr lang="en-US" sz="1600">
              <a:effectLst/>
              <a:latin typeface="+mn-lt"/>
              <a:ea typeface="+mn-ea"/>
              <a:cs typeface="+mn-cs"/>
            </a:rPr>
            <a:t> Ñ</a:t>
          </a:r>
          <a:r>
            <a:rPr lang="en-US" sz="1600" baseline="30000">
              <a:effectLst/>
              <a:latin typeface="+mn-lt"/>
              <a:ea typeface="+mn-ea"/>
              <a:cs typeface="+mn-cs"/>
            </a:rPr>
            <a:t>0.214</a:t>
          </a:r>
          <a:r>
            <a:rPr lang="en-US" sz="1600">
              <a:effectLst/>
              <a:latin typeface="+mn-lt"/>
              <a:ea typeface="+mn-ea"/>
              <a:cs typeface="+mn-cs"/>
            </a:rPr>
            <a:t> m̃</a:t>
          </a:r>
          <a:r>
            <a:rPr lang="en-US" sz="1600" baseline="30000">
              <a:effectLst/>
              <a:latin typeface="+mn-lt"/>
              <a:ea typeface="+mn-ea"/>
              <a:cs typeface="+mn-cs"/>
            </a:rPr>
            <a:t>-0.244</a:t>
          </a:r>
          <a:endParaRPr lang="en-US" sz="1600">
            <a:effectLst/>
            <a:latin typeface="+mn-lt"/>
            <a:ea typeface="+mn-ea"/>
            <a:cs typeface="+mn-cs"/>
          </a:endParaRPr>
        </a:p>
        <a:p xmlns:a="http://schemas.openxmlformats.org/drawingml/2006/main">
          <a:endParaRPr lang="en-US" sz="1600"/>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0</xdr:colOff>
      <xdr:row>1</xdr:row>
      <xdr:rowOff>0</xdr:rowOff>
    </xdr:from>
    <xdr:to>
      <xdr:col>20</xdr:col>
      <xdr:colOff>438150</xdr:colOff>
      <xdr:row>42</xdr:row>
      <xdr:rowOff>47625</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44</xdr:row>
      <xdr:rowOff>0</xdr:rowOff>
    </xdr:from>
    <xdr:to>
      <xdr:col>20</xdr:col>
      <xdr:colOff>438150</xdr:colOff>
      <xdr:row>85</xdr:row>
      <xdr:rowOff>47625</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44</xdr:row>
      <xdr:rowOff>0</xdr:rowOff>
    </xdr:from>
    <xdr:to>
      <xdr:col>40</xdr:col>
      <xdr:colOff>438150</xdr:colOff>
      <xdr:row>85</xdr:row>
      <xdr:rowOff>47625</xdr:rowOff>
    </xdr:to>
    <xdr:graphicFrame macro="">
      <xdr:nvGraphicFramePr>
        <xdr:cNvPr id="6" name="Chart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1</xdr:row>
      <xdr:rowOff>0</xdr:rowOff>
    </xdr:from>
    <xdr:to>
      <xdr:col>40</xdr:col>
      <xdr:colOff>438150</xdr:colOff>
      <xdr:row>42</xdr:row>
      <xdr:rowOff>47625</xdr:rowOff>
    </xdr:to>
    <xdr:graphicFrame macro="">
      <xdr:nvGraphicFramePr>
        <xdr:cNvPr id="7" name="Chart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87</xdr:row>
      <xdr:rowOff>0</xdr:rowOff>
    </xdr:from>
    <xdr:to>
      <xdr:col>20</xdr:col>
      <xdr:colOff>438150</xdr:colOff>
      <xdr:row>128</xdr:row>
      <xdr:rowOff>47625</xdr:rowOff>
    </xdr:to>
    <xdr:graphicFrame macro="">
      <xdr:nvGraphicFramePr>
        <xdr:cNvPr id="8" name="Chart 7">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19050</xdr:colOff>
      <xdr:row>130</xdr:row>
      <xdr:rowOff>0</xdr:rowOff>
    </xdr:from>
    <xdr:to>
      <xdr:col>20</xdr:col>
      <xdr:colOff>342900</xdr:colOff>
      <xdr:row>171</xdr:row>
      <xdr:rowOff>47625</xdr:rowOff>
    </xdr:to>
    <xdr:graphicFrame macro="">
      <xdr:nvGraphicFramePr>
        <xdr:cNvPr id="9" name="Chart 8">
          <a:extLst>
            <a:ext uri="{FF2B5EF4-FFF2-40B4-BE49-F238E27FC236}">
              <a16:creationId xmlns:a16="http://schemas.microsoft.com/office/drawing/2014/main" id="{00000000-0008-0000-06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22</xdr:col>
      <xdr:colOff>0</xdr:colOff>
      <xdr:row>130</xdr:row>
      <xdr:rowOff>0</xdr:rowOff>
    </xdr:from>
    <xdr:to>
      <xdr:col>40</xdr:col>
      <xdr:colOff>438150</xdr:colOff>
      <xdr:row>171</xdr:row>
      <xdr:rowOff>47625</xdr:rowOff>
    </xdr:to>
    <xdr:graphicFrame macro="">
      <xdr:nvGraphicFramePr>
        <xdr:cNvPr id="11" name="Chart 10">
          <a:extLst>
            <a:ext uri="{FF2B5EF4-FFF2-40B4-BE49-F238E27FC236}">
              <a16:creationId xmlns:a16="http://schemas.microsoft.com/office/drawing/2014/main" id="{00000000-0008-0000-06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42</xdr:col>
      <xdr:colOff>0</xdr:colOff>
      <xdr:row>130</xdr:row>
      <xdr:rowOff>0</xdr:rowOff>
    </xdr:from>
    <xdr:to>
      <xdr:col>60</xdr:col>
      <xdr:colOff>438150</xdr:colOff>
      <xdr:row>171</xdr:row>
      <xdr:rowOff>47625</xdr:rowOff>
    </xdr:to>
    <xdr:graphicFrame macro="">
      <xdr:nvGraphicFramePr>
        <xdr:cNvPr id="12" name="Chart 11">
          <a:extLst>
            <a:ext uri="{FF2B5EF4-FFF2-40B4-BE49-F238E27FC236}">
              <a16:creationId xmlns:a16="http://schemas.microsoft.com/office/drawing/2014/main" id="{00000000-0008-0000-06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62</xdr:col>
      <xdr:colOff>0</xdr:colOff>
      <xdr:row>130</xdr:row>
      <xdr:rowOff>0</xdr:rowOff>
    </xdr:from>
    <xdr:to>
      <xdr:col>80</xdr:col>
      <xdr:colOff>438150</xdr:colOff>
      <xdr:row>171</xdr:row>
      <xdr:rowOff>47625</xdr:rowOff>
    </xdr:to>
    <xdr:graphicFrame macro="">
      <xdr:nvGraphicFramePr>
        <xdr:cNvPr id="13" name="Chart 12">
          <a:extLst>
            <a:ext uri="{FF2B5EF4-FFF2-40B4-BE49-F238E27FC236}">
              <a16:creationId xmlns:a16="http://schemas.microsoft.com/office/drawing/2014/main" id="{00000000-0008-0000-06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82</xdr:col>
      <xdr:colOff>0</xdr:colOff>
      <xdr:row>130</xdr:row>
      <xdr:rowOff>0</xdr:rowOff>
    </xdr:from>
    <xdr:to>
      <xdr:col>100</xdr:col>
      <xdr:colOff>438150</xdr:colOff>
      <xdr:row>171</xdr:row>
      <xdr:rowOff>47625</xdr:rowOff>
    </xdr:to>
    <xdr:graphicFrame macro="">
      <xdr:nvGraphicFramePr>
        <xdr:cNvPr id="14" name="Chart 13">
          <a:extLst>
            <a:ext uri="{FF2B5EF4-FFF2-40B4-BE49-F238E27FC236}">
              <a16:creationId xmlns:a16="http://schemas.microsoft.com/office/drawing/2014/main" id="{00000000-0008-0000-06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102</xdr:col>
      <xdr:colOff>0</xdr:colOff>
      <xdr:row>130</xdr:row>
      <xdr:rowOff>0</xdr:rowOff>
    </xdr:from>
    <xdr:to>
      <xdr:col>120</xdr:col>
      <xdr:colOff>438150</xdr:colOff>
      <xdr:row>171</xdr:row>
      <xdr:rowOff>47625</xdr:rowOff>
    </xdr:to>
    <xdr:graphicFrame macro="">
      <xdr:nvGraphicFramePr>
        <xdr:cNvPr id="15" name="Chart 14">
          <a:extLst>
            <a:ext uri="{FF2B5EF4-FFF2-40B4-BE49-F238E27FC236}">
              <a16:creationId xmlns:a16="http://schemas.microsoft.com/office/drawing/2014/main" id="{00000000-0008-0000-06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42</xdr:col>
      <xdr:colOff>0</xdr:colOff>
      <xdr:row>44</xdr:row>
      <xdr:rowOff>0</xdr:rowOff>
    </xdr:from>
    <xdr:to>
      <xdr:col>60</xdr:col>
      <xdr:colOff>438150</xdr:colOff>
      <xdr:row>85</xdr:row>
      <xdr:rowOff>47625</xdr:rowOff>
    </xdr:to>
    <xdr:graphicFrame macro="">
      <xdr:nvGraphicFramePr>
        <xdr:cNvPr id="16" name="Chart 15">
          <a:extLst>
            <a:ext uri="{FF2B5EF4-FFF2-40B4-BE49-F238E27FC236}">
              <a16:creationId xmlns:a16="http://schemas.microsoft.com/office/drawing/2014/main" id="{00000000-0008-0000-06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0</xdr:colOff>
      <xdr:row>173</xdr:row>
      <xdr:rowOff>0</xdr:rowOff>
    </xdr:from>
    <xdr:to>
      <xdr:col>20</xdr:col>
      <xdr:colOff>438150</xdr:colOff>
      <xdr:row>214</xdr:row>
      <xdr:rowOff>47625</xdr:rowOff>
    </xdr:to>
    <xdr:graphicFrame macro="">
      <xdr:nvGraphicFramePr>
        <xdr:cNvPr id="17" name="Chart 16">
          <a:extLst>
            <a:ext uri="{FF2B5EF4-FFF2-40B4-BE49-F238E27FC236}">
              <a16:creationId xmlns:a16="http://schemas.microsoft.com/office/drawing/2014/main" id="{00000000-0008-0000-06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22</xdr:col>
      <xdr:colOff>0</xdr:colOff>
      <xdr:row>173</xdr:row>
      <xdr:rowOff>0</xdr:rowOff>
    </xdr:from>
    <xdr:to>
      <xdr:col>40</xdr:col>
      <xdr:colOff>438150</xdr:colOff>
      <xdr:row>214</xdr:row>
      <xdr:rowOff>47625</xdr:rowOff>
    </xdr:to>
    <xdr:graphicFrame macro="">
      <xdr:nvGraphicFramePr>
        <xdr:cNvPr id="19" name="Chart 18">
          <a:extLst>
            <a:ext uri="{FF2B5EF4-FFF2-40B4-BE49-F238E27FC236}">
              <a16:creationId xmlns:a16="http://schemas.microsoft.com/office/drawing/2014/main" id="{00000000-0008-0000-06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28</xdr:col>
      <xdr:colOff>85725</xdr:colOff>
      <xdr:row>87</xdr:row>
      <xdr:rowOff>47625</xdr:rowOff>
    </xdr:from>
    <xdr:to>
      <xdr:col>46</xdr:col>
      <xdr:colOff>523875</xdr:colOff>
      <xdr:row>128</xdr:row>
      <xdr:rowOff>95250</xdr:rowOff>
    </xdr:to>
    <xdr:graphicFrame macro="">
      <xdr:nvGraphicFramePr>
        <xdr:cNvPr id="18" name="Chart 17">
          <a:extLst>
            <a:ext uri="{FF2B5EF4-FFF2-40B4-BE49-F238E27FC236}">
              <a16:creationId xmlns:a16="http://schemas.microsoft.com/office/drawing/2014/main" id="{00000000-0008-0000-06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1</xdr:row>
      <xdr:rowOff>0</xdr:rowOff>
    </xdr:from>
    <xdr:to>
      <xdr:col>20</xdr:col>
      <xdr:colOff>438150</xdr:colOff>
      <xdr:row>36</xdr:row>
      <xdr:rowOff>19050</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37</xdr:row>
      <xdr:rowOff>0</xdr:rowOff>
    </xdr:from>
    <xdr:to>
      <xdr:col>20</xdr:col>
      <xdr:colOff>438150</xdr:colOff>
      <xdr:row>72</xdr:row>
      <xdr:rowOff>19050</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37</xdr:row>
      <xdr:rowOff>0</xdr:rowOff>
    </xdr:from>
    <xdr:to>
      <xdr:col>40</xdr:col>
      <xdr:colOff>438150</xdr:colOff>
      <xdr:row>72</xdr:row>
      <xdr:rowOff>19050</xdr:rowOff>
    </xdr:to>
    <xdr:graphicFrame macro="">
      <xdr:nvGraphicFramePr>
        <xdr:cNvPr id="4" name="Chart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74</xdr:row>
      <xdr:rowOff>9524</xdr:rowOff>
    </xdr:from>
    <xdr:to>
      <xdr:col>20</xdr:col>
      <xdr:colOff>295275</xdr:colOff>
      <xdr:row>109</xdr:row>
      <xdr:rowOff>19049</xdr:rowOff>
    </xdr:to>
    <xdr:graphicFrame macro="">
      <xdr:nvGraphicFramePr>
        <xdr:cNvPr id="7" name="Chart 6">
          <a:extLst>
            <a:ext uri="{FF2B5EF4-FFF2-40B4-BE49-F238E27FC236}">
              <a16:creationId xmlns:a16="http://schemas.microsoft.com/office/drawing/2014/main" id="{00000000-0008-0000-07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5</xdr:col>
      <xdr:colOff>38100</xdr:colOff>
      <xdr:row>41</xdr:row>
      <xdr:rowOff>0</xdr:rowOff>
    </xdr:from>
    <xdr:ext cx="2714625" cy="749821"/>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2095500" y="7810500"/>
          <a:ext cx="2714625" cy="749821"/>
        </a:xfrm>
        <a:prstGeom prst="rect">
          <a:avLst/>
        </a:prstGeom>
        <a:solidFill>
          <a:schemeClr val="bg1"/>
        </a:solidFill>
        <a:ln>
          <a:solidFill>
            <a:schemeClr val="bg1">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a:t>Results</a:t>
          </a:r>
          <a:r>
            <a:rPr lang="en-US" sz="1400" baseline="0"/>
            <a:t> for "F105 IL" and "F105 IL with arch action" are so close that the latter covers the former.</a:t>
          </a:r>
          <a:endParaRPr lang="en-US" sz="1400"/>
        </a:p>
      </xdr:txBody>
    </xdr:sp>
    <xdr:clientData/>
  </xdr:oneCellAnchor>
</xdr:wsDr>
</file>

<file path=xl/persons/person.xml><?xml version="1.0" encoding="utf-8"?>
<personList xmlns="http://schemas.microsoft.com/office/spreadsheetml/2018/threadedcomments" xmlns:x="http://schemas.openxmlformats.org/spreadsheetml/2006/main">
  <person displayName="Ralf Peek" id="{DB4AC703-EFEA-4F60-882A-C07F821C5FB4}" userId="Ralf Peek"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91" dT="2021-09-13T17:55:15.25" personId="{DB4AC703-EFEA-4F60-882A-C07F821C5FB4}" id="{03C06EEF-5732-4204-8D31-43B820076430}">
    <text>y if self-checked</text>
  </threadedComment>
  <threadedComment ref="G93" dT="2021-09-11T07:05:38.51" personId="{DB4AC703-EFEA-4F60-882A-C07F821C5FB4}" id="{F17B83FD-9C4E-4781-B5DC-25FD81D5E752}">
    <text>formula schkd</text>
  </threadedComment>
  <threadedComment ref="G124" dT="2021-09-11T15:30:47.71" personId="{DB4AC703-EFEA-4F60-882A-C07F821C5FB4}" id="{10E472EE-CDF4-4CB0-9490-A32E79C8BBAA}">
    <text>For info only; not used.</text>
  </threadedComment>
  <threadedComment ref="G264" dT="2021-10-19T19:11:07.66" personId="{DB4AC703-EFEA-4F60-882A-C07F821C5FB4}" id="{39D38C13-08B6-4072-9A4F-38DE9B4A8337}">
    <text>Verified on an example that these are zero when there is no adjustment of the EI and N values for the prototype, and the mratio values for model and prototype also match.
Otherwise they are not zero.</text>
  </threadedComment>
</ThreadedComments>
</file>

<file path=xl/threadedComments/threadedComment2.xml><?xml version="1.0" encoding="utf-8"?>
<ThreadedComments xmlns="http://schemas.microsoft.com/office/spreadsheetml/2018/threadedcomments" xmlns:x="http://schemas.openxmlformats.org/spreadsheetml/2006/main">
  <threadedComment ref="C1" dT="2021-10-01T17:09:18.59" personId="{DB4AC703-EFEA-4F60-882A-C07F821C5FB4}" id="{FB0C493B-6DDC-4ED8-B212-2DDD5181F878}">
    <text>Ranges include only tests on bare pipe (pctGap=100)</text>
  </threadedComment>
  <threadedComment ref="DY4" dT="2021-10-02T15:53:39.43" personId="{DB4AC703-EFEA-4F60-882A-C07F821C5FB4}" id="{C17D6228-B6EB-4414-A1AA-454AFD694338}">
    <text>Roughness increased by gluing P40 sand paper to the outside of the
pipe.</text>
  </threadedComment>
  <threadedComment ref="AF45" dT="2021-10-04T13:40:37.02" personId="{DB4AC703-EFEA-4F60-882A-C07F821C5FB4}" id="{FD8D13EF-C011-42D8-9179-C733A78FF125}">
    <text>"ne" meanst "not estimated"</text>
  </threadedComment>
  <threadedComment ref="AE187" dT="2021-11-07T12:24:35.56" personId="{DB4AC703-EFEA-4F60-882A-C07F821C5FB4}" id="{62F24396-6C13-4EEB-9FB0-BE2008C26E58}">
    <text>Prototype fatigue damage rate from scaling divided by that from F105 at the same current velocity.</text>
  </threadedComment>
  <threadedComment ref="AE187" dT="2022-11-01T09:31:20.51" personId="{DB4AC703-EFEA-4F60-882A-C07F821C5FB4}" id="{1E7A0262-A4BC-4BE7-B5AE-4B3BD207FE2B}" parentId="{62F24396-6C13-4EEB-9FB0-BE2008C26E58}">
    <text>F105 values include arch action.</text>
  </threadedComment>
  <threadedComment ref="AE189" dT="2021-11-07T12:30:20.53" personId="{DB4AC703-EFEA-4F60-882A-C07F821C5FB4}" id="{A92C6025-8701-4483-B268-A48046E88C4B}">
    <text>Only data with current velocity of 0.6m/s or more included</text>
  </threadedComment>
</ThreadedComments>
</file>

<file path=xl/threadedComments/threadedComment3.xml><?xml version="1.0" encoding="utf-8"?>
<ThreadedComments xmlns="http://schemas.microsoft.com/office/spreadsheetml/2018/threadedcomments" xmlns:x="http://schemas.openxmlformats.org/spreadsheetml/2006/main">
  <threadedComment ref="J67" dT="2021-11-09T11:24:42.79" personId="{DB4AC703-EFEA-4F60-882A-C07F821C5FB4}" id="{74F9FBDA-AB51-4B0C-9042-B6AF59CCE72F}">
    <text>Initial guess for fitting parameters</text>
  </threadedComment>
  <threadedComment ref="J77" dT="2021-11-09T11:25:03.49" personId="{DB4AC703-EFEA-4F60-882A-C07F821C5FB4}" id="{442D8AA3-D1AE-4F1A-A834-F92B1D1A6A77}">
    <text>Initial guess for fitting parameters</text>
  </threadedComment>
  <threadedComment ref="J88" dT="2021-11-09T11:24:42.79" personId="{DB4AC703-EFEA-4F60-882A-C07F821C5FB4}" id="{469F60E4-86CE-40EA-B216-9D23555922FA}">
    <text>Initial guess for fitting parameters</text>
  </threadedComment>
  <threadedComment ref="J99" dT="2021-11-09T11:25:03.49" personId="{DB4AC703-EFEA-4F60-882A-C07F821C5FB4}" id="{D6CB4A0C-B693-45F1-9746-EBC1A73BE5C7}">
    <text>Initial guess for fitting parameters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ctrlProp" Target="../ctrlProps/ctrlProp2.xml"/><Relationship Id="rId7" Type="http://schemas.openxmlformats.org/officeDocument/2006/relationships/ctrlProp" Target="../ctrlProps/ctrlProp6.xml"/><Relationship Id="rId2" Type="http://schemas.openxmlformats.org/officeDocument/2006/relationships/vmlDrawing" Target="../drawings/vmlDrawing3.vml"/><Relationship Id="rId1" Type="http://schemas.openxmlformats.org/officeDocument/2006/relationships/drawing" Target="../drawings/drawing2.xml"/><Relationship Id="rId6" Type="http://schemas.openxmlformats.org/officeDocument/2006/relationships/ctrlProp" Target="../ctrlProps/ctrlProp5.xml"/><Relationship Id="rId5" Type="http://schemas.openxmlformats.org/officeDocument/2006/relationships/ctrlProp" Target="../ctrlProps/ctrlProp4.xml"/><Relationship Id="rId10" Type="http://schemas.microsoft.com/office/2017/10/relationships/threadedComment" Target="../threadedComments/threadedComment1.xml"/><Relationship Id="rId4" Type="http://schemas.openxmlformats.org/officeDocument/2006/relationships/ctrlProp" Target="../ctrlProps/ctrlProp3.xml"/><Relationship Id="rId9"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8.xml"/><Relationship Id="rId7" Type="http://schemas.microsoft.com/office/2017/10/relationships/threadedComment" Target="../threadedComments/threadedComment2.xml"/><Relationship Id="rId2" Type="http://schemas.openxmlformats.org/officeDocument/2006/relationships/vmlDrawing" Target="../drawings/vmlDrawing4.vml"/><Relationship Id="rId1" Type="http://schemas.openxmlformats.org/officeDocument/2006/relationships/drawing" Target="../drawings/drawing3.xml"/><Relationship Id="rId6" Type="http://schemas.openxmlformats.org/officeDocument/2006/relationships/comments" Target="../comments4.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41"/>
  <sheetViews>
    <sheetView zoomScaleNormal="100" workbookViewId="0"/>
  </sheetViews>
  <sheetFormatPr defaultRowHeight="12.75" x14ac:dyDescent="0.2"/>
  <cols>
    <col min="1" max="1" width="1.7109375" style="2" customWidth="1"/>
    <col min="2" max="2" width="1.7109375" style="3" customWidth="1"/>
    <col min="3" max="3" width="57" style="1" customWidth="1"/>
    <col min="4" max="4" width="8.7109375" customWidth="1"/>
    <col min="5" max="10" width="15" bestFit="1" customWidth="1"/>
    <col min="11" max="11" width="13.85546875" bestFit="1" customWidth="1"/>
  </cols>
  <sheetData>
    <row r="1" spans="1:1" x14ac:dyDescent="0.2">
      <c r="A1" s="2" t="s">
        <v>801</v>
      </c>
    </row>
    <row r="26" spans="1:3" x14ac:dyDescent="0.2">
      <c r="A26" s="2" t="s">
        <v>0</v>
      </c>
    </row>
    <row r="28" spans="1:3" x14ac:dyDescent="0.2">
      <c r="C28" s="4" t="s">
        <v>424</v>
      </c>
    </row>
    <row r="29" spans="1:3" x14ac:dyDescent="0.2">
      <c r="C29" s="4" t="s">
        <v>425</v>
      </c>
    </row>
    <row r="30" spans="1:3" x14ac:dyDescent="0.2">
      <c r="C30" s="4" t="s">
        <v>428</v>
      </c>
    </row>
    <row r="32" spans="1:3" x14ac:dyDescent="0.2">
      <c r="C32" s="1" t="s">
        <v>1</v>
      </c>
    </row>
    <row r="36" spans="3:11" x14ac:dyDescent="0.2">
      <c r="C36" s="4" t="s">
        <v>296</v>
      </c>
      <c r="D36">
        <f xml:space="preserve"> SQRT(2*2568300/(500*38))/(2*PI())</f>
        <v>2.6168643145476715</v>
      </c>
      <c r="E36" s="5" t="s">
        <v>297</v>
      </c>
    </row>
    <row r="37" spans="3:11" x14ac:dyDescent="0.2">
      <c r="C37" s="4" t="s">
        <v>298</v>
      </c>
      <c r="D37">
        <f xml:space="preserve"> SQRT(2*7826300/(500*38))/(2*PI())</f>
        <v>4.5681102263985549</v>
      </c>
      <c r="E37" s="5" t="s">
        <v>297</v>
      </c>
    </row>
    <row r="39" spans="3:11" x14ac:dyDescent="0.2">
      <c r="C39" s="4"/>
    </row>
    <row r="41" spans="3:11" x14ac:dyDescent="0.2">
      <c r="D41" s="22"/>
      <c r="E41" s="23"/>
      <c r="F41" s="22"/>
      <c r="G41" s="23"/>
      <c r="H41" s="22"/>
      <c r="I41" s="23"/>
      <c r="J41" s="22"/>
      <c r="K41" s="23"/>
    </row>
    <row r="42" spans="3:11" x14ac:dyDescent="0.2">
      <c r="D42" s="9"/>
      <c r="E42" s="9"/>
      <c r="F42" s="9"/>
      <c r="G42" s="9"/>
      <c r="H42" s="9"/>
      <c r="I42" s="9"/>
      <c r="J42" s="9"/>
      <c r="K42" s="9"/>
    </row>
    <row r="43" spans="3:11" x14ac:dyDescent="0.2">
      <c r="D43" s="10"/>
      <c r="E43" s="10"/>
      <c r="F43" s="10"/>
      <c r="G43" s="10"/>
      <c r="H43" s="10"/>
      <c r="I43" s="10"/>
      <c r="J43" s="10"/>
      <c r="K43" s="10"/>
    </row>
    <row r="44" spans="3:11" x14ac:dyDescent="0.2">
      <c r="D44" s="10"/>
      <c r="E44" s="10"/>
      <c r="F44" s="10"/>
      <c r="G44" s="10"/>
      <c r="H44" s="10"/>
      <c r="I44" s="10"/>
      <c r="J44" s="10"/>
      <c r="K44" s="10"/>
    </row>
    <row r="45" spans="3:11" x14ac:dyDescent="0.2">
      <c r="D45" s="10"/>
      <c r="E45" s="10"/>
      <c r="F45" s="10"/>
      <c r="G45" s="10"/>
      <c r="H45" s="10"/>
      <c r="I45" s="10"/>
      <c r="J45" s="10"/>
      <c r="K45" s="10"/>
    </row>
    <row r="46" spans="3:11" x14ac:dyDescent="0.2">
      <c r="D46" s="10"/>
      <c r="E46" s="10"/>
      <c r="F46" s="10"/>
      <c r="G46" s="10"/>
      <c r="H46" s="10"/>
      <c r="I46" s="10"/>
      <c r="J46" s="10"/>
      <c r="K46" s="10"/>
    </row>
    <row r="47" spans="3:11" x14ac:dyDescent="0.2">
      <c r="D47" s="10"/>
      <c r="E47" s="10"/>
      <c r="F47" s="10"/>
      <c r="G47" s="10"/>
      <c r="H47" s="10"/>
      <c r="I47" s="10"/>
      <c r="J47" s="10"/>
      <c r="K47" s="10"/>
    </row>
    <row r="48" spans="3:11" x14ac:dyDescent="0.2">
      <c r="D48" s="10"/>
      <c r="E48" s="10"/>
      <c r="F48" s="10"/>
      <c r="G48" s="10"/>
      <c r="H48" s="10"/>
      <c r="I48" s="10"/>
      <c r="J48" s="10"/>
      <c r="K48" s="10"/>
    </row>
    <row r="49" spans="4:11" x14ac:dyDescent="0.2">
      <c r="D49" s="10"/>
      <c r="E49" s="10"/>
      <c r="F49" s="10"/>
      <c r="G49" s="10"/>
      <c r="H49" s="10"/>
      <c r="I49" s="10"/>
      <c r="J49" s="10"/>
      <c r="K49" s="10"/>
    </row>
    <row r="50" spans="4:11" x14ac:dyDescent="0.2">
      <c r="D50" s="10"/>
      <c r="E50" s="10"/>
      <c r="F50" s="10"/>
      <c r="G50" s="10"/>
      <c r="H50" s="10"/>
      <c r="I50" s="10"/>
      <c r="J50" s="10"/>
      <c r="K50" s="10"/>
    </row>
    <row r="51" spans="4:11" x14ac:dyDescent="0.2">
      <c r="D51" s="10"/>
      <c r="E51" s="10"/>
      <c r="F51" s="10"/>
      <c r="G51" s="10"/>
      <c r="H51" s="10"/>
      <c r="I51" s="10"/>
      <c r="J51" s="10"/>
      <c r="K51" s="10"/>
    </row>
    <row r="52" spans="4:11" x14ac:dyDescent="0.2">
      <c r="D52" s="10"/>
      <c r="E52" s="10"/>
      <c r="F52" s="10"/>
      <c r="G52" s="10"/>
      <c r="H52" s="10"/>
      <c r="I52" s="10"/>
      <c r="J52" s="10"/>
      <c r="K52" s="10"/>
    </row>
    <row r="53" spans="4:11" x14ac:dyDescent="0.2">
      <c r="D53" s="10"/>
      <c r="E53" s="10"/>
      <c r="F53" s="10"/>
      <c r="G53" s="10"/>
      <c r="H53" s="10"/>
      <c r="I53" s="10"/>
      <c r="J53" s="10"/>
      <c r="K53" s="10"/>
    </row>
    <row r="54" spans="4:11" x14ac:dyDescent="0.2">
      <c r="D54" s="10"/>
      <c r="E54" s="10"/>
      <c r="F54" s="10"/>
      <c r="G54" s="10"/>
      <c r="H54" s="10"/>
      <c r="I54" s="10"/>
      <c r="J54" s="10"/>
      <c r="K54" s="10"/>
    </row>
    <row r="55" spans="4:11" x14ac:dyDescent="0.2">
      <c r="D55" s="10"/>
      <c r="E55" s="10"/>
      <c r="F55" s="10"/>
      <c r="G55" s="10"/>
      <c r="H55" s="10"/>
      <c r="I55" s="10"/>
      <c r="J55" s="10"/>
      <c r="K55" s="10"/>
    </row>
    <row r="56" spans="4:11" x14ac:dyDescent="0.2">
      <c r="D56" s="10"/>
      <c r="E56" s="10"/>
      <c r="F56" s="10"/>
      <c r="G56" s="10"/>
      <c r="H56" s="10"/>
      <c r="I56" s="10"/>
      <c r="J56" s="10"/>
      <c r="K56" s="10"/>
    </row>
    <row r="57" spans="4:11" x14ac:dyDescent="0.2">
      <c r="D57" s="10"/>
      <c r="E57" s="10"/>
      <c r="F57" s="10"/>
      <c r="G57" s="10"/>
      <c r="H57" s="10"/>
      <c r="I57" s="10"/>
      <c r="J57" s="10"/>
      <c r="K57" s="10"/>
    </row>
    <row r="58" spans="4:11" x14ac:dyDescent="0.2">
      <c r="D58" s="10"/>
      <c r="E58" s="10"/>
      <c r="F58" s="10"/>
      <c r="G58" s="10"/>
      <c r="H58" s="10"/>
      <c r="I58" s="10"/>
      <c r="J58" s="10"/>
      <c r="K58" s="10"/>
    </row>
    <row r="59" spans="4:11" x14ac:dyDescent="0.2">
      <c r="D59" s="10"/>
      <c r="E59" s="10"/>
      <c r="F59" s="10"/>
      <c r="G59" s="10"/>
      <c r="H59" s="10"/>
      <c r="I59" s="10"/>
      <c r="J59" s="10"/>
      <c r="K59" s="10"/>
    </row>
    <row r="60" spans="4:11" x14ac:dyDescent="0.2">
      <c r="D60" s="10"/>
      <c r="E60" s="10"/>
      <c r="F60" s="10"/>
      <c r="G60" s="10"/>
      <c r="H60" s="10"/>
      <c r="I60" s="10"/>
      <c r="J60" s="10"/>
      <c r="K60" s="10"/>
    </row>
    <row r="61" spans="4:11" x14ac:dyDescent="0.2">
      <c r="D61" s="10"/>
      <c r="E61" s="10"/>
      <c r="F61" s="10"/>
      <c r="G61" s="10"/>
      <c r="H61" s="10"/>
      <c r="I61" s="10"/>
      <c r="J61" s="10"/>
      <c r="K61" s="10"/>
    </row>
    <row r="62" spans="4:11" x14ac:dyDescent="0.2">
      <c r="D62" s="10"/>
      <c r="E62" s="10"/>
      <c r="F62" s="10"/>
      <c r="G62" s="10"/>
      <c r="H62" s="10"/>
      <c r="I62" s="10"/>
      <c r="J62" s="10"/>
      <c r="K62" s="10"/>
    </row>
    <row r="63" spans="4:11" x14ac:dyDescent="0.2">
      <c r="D63" s="10"/>
      <c r="E63" s="10"/>
      <c r="F63" s="10"/>
      <c r="G63" s="10"/>
      <c r="H63" s="10"/>
      <c r="I63" s="10"/>
      <c r="J63" s="10"/>
      <c r="K63" s="10"/>
    </row>
    <row r="64" spans="4:11" x14ac:dyDescent="0.2">
      <c r="D64" s="10"/>
      <c r="E64" s="10"/>
      <c r="F64" s="10"/>
      <c r="G64" s="10"/>
      <c r="H64" s="10"/>
      <c r="I64" s="10"/>
      <c r="J64" s="10"/>
      <c r="K64" s="10"/>
    </row>
    <row r="65" spans="4:11" x14ac:dyDescent="0.2">
      <c r="D65" s="10"/>
      <c r="E65" s="10"/>
      <c r="F65" s="10"/>
      <c r="G65" s="10"/>
      <c r="H65" s="10"/>
      <c r="I65" s="10"/>
      <c r="J65" s="10"/>
      <c r="K65" s="10"/>
    </row>
    <row r="66" spans="4:11" x14ac:dyDescent="0.2">
      <c r="D66" s="10"/>
      <c r="E66" s="10"/>
      <c r="F66" s="10"/>
      <c r="G66" s="10"/>
      <c r="H66" s="10"/>
      <c r="I66" s="10"/>
      <c r="J66" s="10"/>
      <c r="K66" s="10"/>
    </row>
    <row r="67" spans="4:11" x14ac:dyDescent="0.2">
      <c r="D67" s="10"/>
      <c r="E67" s="10"/>
      <c r="F67" s="10"/>
      <c r="G67" s="10"/>
      <c r="H67" s="10"/>
      <c r="I67" s="10"/>
      <c r="J67" s="10"/>
      <c r="K67" s="10"/>
    </row>
    <row r="68" spans="4:11" x14ac:dyDescent="0.2">
      <c r="D68" s="10"/>
      <c r="E68" s="10"/>
      <c r="F68" s="10"/>
      <c r="G68" s="10"/>
      <c r="H68" s="10"/>
      <c r="I68" s="10"/>
      <c r="J68" s="10"/>
      <c r="K68" s="10"/>
    </row>
    <row r="69" spans="4:11" x14ac:dyDescent="0.2">
      <c r="D69" s="10"/>
      <c r="E69" s="10"/>
      <c r="F69" s="10"/>
      <c r="G69" s="10"/>
      <c r="H69" s="10"/>
      <c r="I69" s="10"/>
      <c r="J69" s="10"/>
      <c r="K69" s="10"/>
    </row>
    <row r="70" spans="4:11" x14ac:dyDescent="0.2">
      <c r="D70" s="10"/>
      <c r="E70" s="10"/>
      <c r="F70" s="10"/>
      <c r="G70" s="10"/>
      <c r="H70" s="10"/>
      <c r="I70" s="10"/>
      <c r="J70" s="10"/>
      <c r="K70" s="10"/>
    </row>
    <row r="71" spans="4:11" x14ac:dyDescent="0.2">
      <c r="D71" s="10"/>
      <c r="E71" s="10"/>
      <c r="F71" s="10"/>
      <c r="G71" s="10"/>
      <c r="H71" s="10"/>
      <c r="I71" s="10"/>
      <c r="J71" s="10"/>
      <c r="K71" s="10"/>
    </row>
    <row r="72" spans="4:11" x14ac:dyDescent="0.2">
      <c r="D72" s="10"/>
      <c r="E72" s="10"/>
      <c r="F72" s="10"/>
      <c r="G72" s="10"/>
      <c r="H72" s="10"/>
      <c r="I72" s="10"/>
      <c r="J72" s="10"/>
      <c r="K72" s="10"/>
    </row>
    <row r="73" spans="4:11" x14ac:dyDescent="0.2">
      <c r="D73" s="10"/>
      <c r="E73" s="10"/>
      <c r="F73" s="10"/>
      <c r="G73" s="10"/>
      <c r="H73" s="10"/>
      <c r="I73" s="10"/>
      <c r="J73" s="10"/>
      <c r="K73" s="10"/>
    </row>
    <row r="74" spans="4:11" x14ac:dyDescent="0.2">
      <c r="D74" s="10"/>
      <c r="E74" s="10"/>
      <c r="F74" s="10"/>
      <c r="G74" s="10"/>
      <c r="H74" s="10"/>
      <c r="I74" s="10"/>
      <c r="J74" s="10"/>
      <c r="K74" s="10"/>
    </row>
    <row r="75" spans="4:11" x14ac:dyDescent="0.2">
      <c r="D75" s="10"/>
      <c r="E75" s="10"/>
      <c r="F75" s="10"/>
      <c r="G75" s="10"/>
      <c r="H75" s="10"/>
      <c r="I75" s="10"/>
      <c r="J75" s="10"/>
      <c r="K75" s="10"/>
    </row>
    <row r="76" spans="4:11" x14ac:dyDescent="0.2">
      <c r="D76" s="10"/>
      <c r="E76" s="10"/>
      <c r="F76" s="10"/>
      <c r="G76" s="10"/>
      <c r="H76" s="10"/>
      <c r="I76" s="10"/>
      <c r="J76" s="10"/>
      <c r="K76" s="10"/>
    </row>
    <row r="77" spans="4:11" x14ac:dyDescent="0.2">
      <c r="D77" s="10"/>
      <c r="E77" s="10"/>
      <c r="F77" s="10"/>
      <c r="G77" s="10"/>
      <c r="H77" s="10"/>
      <c r="I77" s="10"/>
      <c r="J77" s="10"/>
      <c r="K77" s="10"/>
    </row>
    <row r="78" spans="4:11" x14ac:dyDescent="0.2">
      <c r="D78" s="10"/>
      <c r="E78" s="10"/>
      <c r="F78" s="10"/>
      <c r="G78" s="10"/>
      <c r="H78" s="10"/>
      <c r="I78" s="10"/>
      <c r="J78" s="10"/>
      <c r="K78" s="10"/>
    </row>
    <row r="79" spans="4:11" x14ac:dyDescent="0.2">
      <c r="D79" s="10"/>
      <c r="E79" s="10"/>
      <c r="F79" s="10"/>
      <c r="G79" s="10"/>
      <c r="H79" s="10"/>
      <c r="I79" s="10"/>
      <c r="J79" s="10"/>
      <c r="K79" s="10"/>
    </row>
    <row r="80" spans="4:11" x14ac:dyDescent="0.2">
      <c r="D80" s="10"/>
      <c r="E80" s="10"/>
      <c r="F80" s="10"/>
      <c r="G80" s="10"/>
      <c r="H80" s="10"/>
      <c r="I80" s="10"/>
      <c r="J80" s="10"/>
      <c r="K80" s="10"/>
    </row>
    <row r="81" spans="4:11" x14ac:dyDescent="0.2">
      <c r="D81" s="10"/>
      <c r="E81" s="10"/>
      <c r="F81" s="10"/>
      <c r="G81" s="10"/>
      <c r="H81" s="10"/>
      <c r="I81" s="10"/>
      <c r="J81" s="10"/>
      <c r="K81" s="10"/>
    </row>
    <row r="82" spans="4:11" x14ac:dyDescent="0.2">
      <c r="D82" s="10"/>
      <c r="E82" s="10"/>
      <c r="F82" s="10"/>
      <c r="G82" s="10"/>
      <c r="H82" s="10"/>
      <c r="I82" s="10"/>
      <c r="J82" s="10"/>
      <c r="K82" s="10"/>
    </row>
    <row r="83" spans="4:11" x14ac:dyDescent="0.2">
      <c r="D83" s="10"/>
      <c r="E83" s="10"/>
      <c r="F83" s="10"/>
      <c r="G83" s="10"/>
      <c r="H83" s="10"/>
      <c r="I83" s="10"/>
      <c r="J83" s="10"/>
      <c r="K83" s="10"/>
    </row>
    <row r="84" spans="4:11" x14ac:dyDescent="0.2">
      <c r="D84" s="10"/>
      <c r="E84" s="10"/>
      <c r="F84" s="10"/>
      <c r="G84" s="10"/>
      <c r="H84" s="10"/>
      <c r="I84" s="10"/>
      <c r="J84" s="10"/>
      <c r="K84" s="10"/>
    </row>
    <row r="85" spans="4:11" x14ac:dyDescent="0.2">
      <c r="D85" s="10"/>
      <c r="E85" s="10"/>
      <c r="F85" s="10"/>
      <c r="G85" s="10"/>
      <c r="H85" s="10"/>
      <c r="I85" s="10"/>
      <c r="J85" s="10"/>
      <c r="K85" s="10"/>
    </row>
    <row r="86" spans="4:11" x14ac:dyDescent="0.2">
      <c r="D86" s="10"/>
      <c r="E86" s="10"/>
      <c r="F86" s="10"/>
      <c r="G86" s="10"/>
      <c r="H86" s="10"/>
      <c r="I86" s="10"/>
      <c r="J86" s="10"/>
      <c r="K86" s="10"/>
    </row>
    <row r="87" spans="4:11" x14ac:dyDescent="0.2">
      <c r="D87" s="10"/>
      <c r="E87" s="10"/>
      <c r="F87" s="10"/>
      <c r="G87" s="10"/>
      <c r="H87" s="10"/>
      <c r="I87" s="10"/>
      <c r="J87" s="10"/>
      <c r="K87" s="10"/>
    </row>
    <row r="88" spans="4:11" x14ac:dyDescent="0.2">
      <c r="D88" s="10"/>
      <c r="E88" s="10"/>
      <c r="F88" s="10"/>
      <c r="G88" s="10"/>
      <c r="H88" s="10"/>
      <c r="I88" s="10"/>
      <c r="J88" s="10"/>
      <c r="K88" s="10"/>
    </row>
    <row r="89" spans="4:11" x14ac:dyDescent="0.2">
      <c r="D89" s="10"/>
      <c r="E89" s="10"/>
      <c r="F89" s="10"/>
      <c r="G89" s="10"/>
      <c r="H89" s="10"/>
      <c r="I89" s="10"/>
      <c r="J89" s="10"/>
      <c r="K89" s="10"/>
    </row>
    <row r="90" spans="4:11" x14ac:dyDescent="0.2">
      <c r="D90" s="10"/>
      <c r="E90" s="10"/>
      <c r="F90" s="10"/>
      <c r="G90" s="10"/>
      <c r="H90" s="10"/>
      <c r="I90" s="10"/>
      <c r="J90" s="10"/>
      <c r="K90" s="10"/>
    </row>
    <row r="91" spans="4:11" x14ac:dyDescent="0.2">
      <c r="D91" s="10"/>
      <c r="E91" s="10"/>
      <c r="F91" s="10"/>
      <c r="G91" s="10"/>
      <c r="H91" s="10"/>
      <c r="I91" s="10"/>
      <c r="J91" s="10"/>
      <c r="K91" s="10"/>
    </row>
    <row r="92" spans="4:11" x14ac:dyDescent="0.2">
      <c r="D92" s="10"/>
      <c r="E92" s="10"/>
      <c r="F92" s="10"/>
      <c r="G92" s="10"/>
      <c r="H92" s="10"/>
      <c r="I92" s="10"/>
      <c r="J92" s="10"/>
      <c r="K92" s="10"/>
    </row>
    <row r="93" spans="4:11" x14ac:dyDescent="0.2">
      <c r="D93" s="10"/>
      <c r="E93" s="10"/>
      <c r="F93" s="10"/>
      <c r="G93" s="10"/>
      <c r="H93" s="10"/>
      <c r="I93" s="10"/>
      <c r="J93" s="10"/>
      <c r="K93" s="10"/>
    </row>
    <row r="94" spans="4:11" x14ac:dyDescent="0.2">
      <c r="D94" s="10"/>
      <c r="E94" s="10"/>
      <c r="F94" s="10"/>
      <c r="G94" s="10"/>
      <c r="H94" s="10"/>
      <c r="I94" s="10"/>
      <c r="J94" s="10"/>
      <c r="K94" s="10"/>
    </row>
    <row r="95" spans="4:11" x14ac:dyDescent="0.2">
      <c r="D95" s="10"/>
      <c r="E95" s="10"/>
      <c r="F95" s="10"/>
      <c r="G95" s="10"/>
      <c r="H95" s="10"/>
      <c r="I95" s="10"/>
      <c r="J95" s="10"/>
      <c r="K95" s="10"/>
    </row>
    <row r="96" spans="4:11" x14ac:dyDescent="0.2">
      <c r="D96" s="10"/>
      <c r="E96" s="10"/>
      <c r="F96" s="10"/>
      <c r="G96" s="10"/>
      <c r="H96" s="10"/>
      <c r="I96" s="10"/>
      <c r="J96" s="10"/>
      <c r="K96" s="10"/>
    </row>
    <row r="97" spans="4:11" x14ac:dyDescent="0.2">
      <c r="D97" s="10"/>
      <c r="E97" s="10"/>
      <c r="F97" s="10"/>
      <c r="G97" s="10"/>
      <c r="H97" s="10"/>
      <c r="I97" s="10"/>
      <c r="J97" s="10"/>
      <c r="K97" s="10"/>
    </row>
    <row r="98" spans="4:11" x14ac:dyDescent="0.2">
      <c r="D98" s="10"/>
      <c r="E98" s="10"/>
      <c r="F98" s="10"/>
      <c r="G98" s="10"/>
      <c r="H98" s="10"/>
      <c r="I98" s="10"/>
      <c r="J98" s="10"/>
      <c r="K98" s="10"/>
    </row>
    <row r="99" spans="4:11" x14ac:dyDescent="0.2">
      <c r="D99" s="10"/>
      <c r="E99" s="10"/>
      <c r="F99" s="10"/>
      <c r="G99" s="10"/>
      <c r="H99" s="10"/>
      <c r="I99" s="10"/>
      <c r="J99" s="10"/>
      <c r="K99" s="10"/>
    </row>
    <row r="100" spans="4:11" x14ac:dyDescent="0.2">
      <c r="D100" s="10"/>
      <c r="E100" s="10"/>
      <c r="F100" s="10"/>
      <c r="G100" s="10"/>
      <c r="H100" s="10"/>
      <c r="I100" s="10"/>
      <c r="J100" s="10"/>
      <c r="K100" s="10"/>
    </row>
    <row r="101" spans="4:11" x14ac:dyDescent="0.2">
      <c r="D101" s="10"/>
      <c r="E101" s="10"/>
      <c r="F101" s="10"/>
      <c r="G101" s="10"/>
      <c r="H101" s="10"/>
      <c r="I101" s="10"/>
      <c r="J101" s="10"/>
      <c r="K101" s="10"/>
    </row>
    <row r="102" spans="4:11" x14ac:dyDescent="0.2">
      <c r="D102" s="10"/>
      <c r="E102" s="10"/>
      <c r="F102" s="10"/>
      <c r="G102" s="10"/>
      <c r="H102" s="10"/>
      <c r="I102" s="10"/>
      <c r="J102" s="10"/>
      <c r="K102" s="10"/>
    </row>
    <row r="103" spans="4:11" x14ac:dyDescent="0.2">
      <c r="D103" s="10"/>
      <c r="E103" s="10"/>
      <c r="F103" s="10"/>
      <c r="G103" s="10"/>
      <c r="H103" s="10"/>
      <c r="I103" s="10"/>
      <c r="J103" s="10"/>
      <c r="K103" s="10"/>
    </row>
    <row r="104" spans="4:11" x14ac:dyDescent="0.2">
      <c r="D104" s="10"/>
      <c r="E104" s="10"/>
      <c r="F104" s="10"/>
      <c r="G104" s="10"/>
      <c r="H104" s="10"/>
      <c r="I104" s="10"/>
      <c r="J104" s="10"/>
      <c r="K104" s="10"/>
    </row>
    <row r="105" spans="4:11" x14ac:dyDescent="0.2">
      <c r="D105" s="10"/>
      <c r="E105" s="10"/>
      <c r="F105" s="10"/>
      <c r="G105" s="10"/>
      <c r="H105" s="10"/>
      <c r="I105" s="10"/>
      <c r="J105" s="10"/>
      <c r="K105" s="10"/>
    </row>
    <row r="106" spans="4:11" x14ac:dyDescent="0.2">
      <c r="D106" s="10"/>
      <c r="E106" s="10"/>
      <c r="F106" s="10"/>
      <c r="G106" s="10"/>
      <c r="H106" s="10"/>
      <c r="I106" s="10"/>
      <c r="J106" s="10"/>
      <c r="K106" s="10"/>
    </row>
    <row r="107" spans="4:11" x14ac:dyDescent="0.2">
      <c r="D107" s="10"/>
      <c r="E107" s="10"/>
      <c r="F107" s="10"/>
      <c r="G107" s="10"/>
      <c r="H107" s="10"/>
      <c r="I107" s="10"/>
      <c r="J107" s="10"/>
      <c r="K107" s="10"/>
    </row>
    <row r="108" spans="4:11" x14ac:dyDescent="0.2">
      <c r="D108" s="10"/>
      <c r="E108" s="10"/>
      <c r="F108" s="10"/>
      <c r="G108" s="10"/>
      <c r="H108" s="10"/>
      <c r="I108" s="10"/>
      <c r="J108" s="10"/>
      <c r="K108" s="10"/>
    </row>
    <row r="109" spans="4:11" x14ac:dyDescent="0.2">
      <c r="D109" s="10"/>
      <c r="E109" s="10"/>
      <c r="F109" s="10"/>
      <c r="G109" s="10"/>
      <c r="H109" s="10"/>
      <c r="I109" s="10"/>
      <c r="J109" s="10"/>
      <c r="K109" s="10"/>
    </row>
    <row r="110" spans="4:11" x14ac:dyDescent="0.2">
      <c r="D110" s="10"/>
      <c r="E110" s="10"/>
      <c r="F110" s="10"/>
      <c r="G110" s="10"/>
      <c r="H110" s="10"/>
      <c r="I110" s="10"/>
      <c r="J110" s="10"/>
      <c r="K110" s="10"/>
    </row>
    <row r="111" spans="4:11" x14ac:dyDescent="0.2">
      <c r="D111" s="10"/>
      <c r="E111" s="10"/>
      <c r="F111" s="10"/>
      <c r="G111" s="10"/>
      <c r="H111" s="10"/>
      <c r="I111" s="10"/>
      <c r="J111" s="10"/>
      <c r="K111" s="10"/>
    </row>
    <row r="112" spans="4:11" x14ac:dyDescent="0.2">
      <c r="D112" s="10"/>
      <c r="E112" s="10"/>
      <c r="F112" s="10"/>
      <c r="G112" s="10"/>
      <c r="H112" s="10"/>
      <c r="I112" s="10"/>
      <c r="J112" s="10"/>
      <c r="K112" s="10"/>
    </row>
    <row r="113" spans="4:11" x14ac:dyDescent="0.2">
      <c r="D113" s="10"/>
      <c r="E113" s="10"/>
      <c r="F113" s="10"/>
      <c r="G113" s="10"/>
      <c r="H113" s="10"/>
      <c r="I113" s="10"/>
      <c r="J113" s="10"/>
      <c r="K113" s="10"/>
    </row>
    <row r="114" spans="4:11" x14ac:dyDescent="0.2">
      <c r="D114" s="10"/>
      <c r="E114" s="10"/>
      <c r="F114" s="10"/>
      <c r="G114" s="10"/>
      <c r="H114" s="10"/>
      <c r="I114" s="10"/>
      <c r="J114" s="10"/>
      <c r="K114" s="10"/>
    </row>
    <row r="115" spans="4:11" x14ac:dyDescent="0.2">
      <c r="D115" s="10"/>
      <c r="E115" s="10"/>
      <c r="F115" s="10"/>
      <c r="G115" s="10"/>
      <c r="H115" s="10"/>
      <c r="I115" s="10"/>
      <c r="J115" s="10"/>
      <c r="K115" s="10"/>
    </row>
    <row r="116" spans="4:11" x14ac:dyDescent="0.2">
      <c r="D116" s="10"/>
      <c r="E116" s="10"/>
      <c r="F116" s="10"/>
      <c r="G116" s="10"/>
      <c r="H116" s="10"/>
      <c r="I116" s="10"/>
      <c r="J116" s="10"/>
      <c r="K116" s="10"/>
    </row>
    <row r="117" spans="4:11" x14ac:dyDescent="0.2">
      <c r="D117" s="10"/>
      <c r="E117" s="10"/>
      <c r="F117" s="10"/>
      <c r="G117" s="10"/>
      <c r="H117" s="10"/>
      <c r="I117" s="10"/>
      <c r="J117" s="10"/>
      <c r="K117" s="10"/>
    </row>
    <row r="118" spans="4:11" x14ac:dyDescent="0.2">
      <c r="D118" s="10"/>
      <c r="E118" s="10"/>
      <c r="F118" s="10"/>
      <c r="G118" s="10"/>
      <c r="H118" s="10"/>
      <c r="I118" s="10"/>
      <c r="J118" s="10"/>
      <c r="K118" s="10"/>
    </row>
    <row r="119" spans="4:11" x14ac:dyDescent="0.2">
      <c r="D119" s="10"/>
      <c r="E119" s="10"/>
      <c r="F119" s="10"/>
      <c r="G119" s="10"/>
      <c r="H119" s="10"/>
      <c r="I119" s="10"/>
      <c r="J119" s="10"/>
      <c r="K119" s="10"/>
    </row>
    <row r="120" spans="4:11" x14ac:dyDescent="0.2">
      <c r="D120" s="10"/>
      <c r="E120" s="10"/>
      <c r="F120" s="10"/>
      <c r="G120" s="10"/>
      <c r="H120" s="10"/>
      <c r="I120" s="10"/>
      <c r="J120" s="10"/>
      <c r="K120" s="10"/>
    </row>
    <row r="121" spans="4:11" x14ac:dyDescent="0.2">
      <c r="D121" s="10"/>
      <c r="E121" s="10"/>
      <c r="F121" s="10"/>
      <c r="G121" s="10"/>
      <c r="H121" s="10"/>
      <c r="I121" s="10"/>
      <c r="J121" s="10"/>
      <c r="K121" s="10"/>
    </row>
    <row r="122" spans="4:11" x14ac:dyDescent="0.2">
      <c r="D122" s="10"/>
      <c r="E122" s="10"/>
      <c r="F122" s="10"/>
      <c r="G122" s="10"/>
      <c r="H122" s="10"/>
      <c r="I122" s="10"/>
      <c r="J122" s="10"/>
      <c r="K122" s="10"/>
    </row>
    <row r="123" spans="4:11" x14ac:dyDescent="0.2">
      <c r="D123" s="10"/>
      <c r="E123" s="10"/>
      <c r="F123" s="10"/>
      <c r="G123" s="10"/>
      <c r="H123" s="10"/>
      <c r="I123" s="10"/>
      <c r="J123" s="10"/>
      <c r="K123" s="10"/>
    </row>
    <row r="124" spans="4:11" x14ac:dyDescent="0.2">
      <c r="D124" s="10"/>
      <c r="E124" s="10"/>
      <c r="F124" s="10"/>
      <c r="G124" s="10"/>
      <c r="H124" s="10"/>
      <c r="I124" s="10"/>
      <c r="J124" s="10"/>
      <c r="K124" s="10"/>
    </row>
    <row r="125" spans="4:11" x14ac:dyDescent="0.2">
      <c r="D125" s="10"/>
      <c r="E125" s="10"/>
      <c r="F125" s="10"/>
      <c r="G125" s="10"/>
      <c r="H125" s="10"/>
      <c r="I125" s="10"/>
      <c r="J125" s="10"/>
      <c r="K125" s="10"/>
    </row>
    <row r="126" spans="4:11" x14ac:dyDescent="0.2">
      <c r="D126" s="10"/>
      <c r="E126" s="10"/>
      <c r="F126" s="10"/>
      <c r="G126" s="10"/>
      <c r="H126" s="10"/>
      <c r="I126" s="10"/>
      <c r="J126" s="10"/>
      <c r="K126" s="10"/>
    </row>
    <row r="127" spans="4:11" x14ac:dyDescent="0.2">
      <c r="D127" s="10"/>
      <c r="E127" s="10"/>
      <c r="F127" s="10"/>
      <c r="G127" s="10"/>
      <c r="H127" s="10"/>
      <c r="I127" s="10"/>
      <c r="J127" s="10"/>
      <c r="K127" s="10"/>
    </row>
    <row r="128" spans="4:11" x14ac:dyDescent="0.2">
      <c r="D128" s="10"/>
      <c r="E128" s="10"/>
      <c r="F128" s="10"/>
      <c r="G128" s="10"/>
      <c r="H128" s="10"/>
      <c r="I128" s="10"/>
      <c r="J128" s="10"/>
      <c r="K128" s="10"/>
    </row>
    <row r="129" spans="4:11" x14ac:dyDescent="0.2">
      <c r="D129" s="10"/>
      <c r="E129" s="10"/>
      <c r="F129" s="10"/>
      <c r="G129" s="10"/>
      <c r="H129" s="10"/>
      <c r="I129" s="10"/>
      <c r="J129" s="10"/>
      <c r="K129" s="10"/>
    </row>
    <row r="130" spans="4:11" x14ac:dyDescent="0.2">
      <c r="D130" s="10"/>
      <c r="E130" s="10"/>
      <c r="F130" s="10"/>
      <c r="G130" s="10"/>
      <c r="H130" s="10"/>
      <c r="I130" s="10"/>
      <c r="J130" s="10"/>
      <c r="K130" s="10"/>
    </row>
    <row r="131" spans="4:11" x14ac:dyDescent="0.2">
      <c r="D131" s="10"/>
      <c r="E131" s="10"/>
      <c r="F131" s="10"/>
      <c r="G131" s="10"/>
      <c r="H131" s="10"/>
      <c r="I131" s="10"/>
      <c r="J131" s="10"/>
      <c r="K131" s="10"/>
    </row>
    <row r="132" spans="4:11" x14ac:dyDescent="0.2">
      <c r="D132" s="10"/>
      <c r="E132" s="10"/>
      <c r="F132" s="10"/>
      <c r="G132" s="10"/>
      <c r="H132" s="10"/>
      <c r="I132" s="10"/>
      <c r="J132" s="10"/>
      <c r="K132" s="10"/>
    </row>
    <row r="133" spans="4:11" x14ac:dyDescent="0.2">
      <c r="D133" s="10"/>
      <c r="E133" s="10"/>
      <c r="F133" s="10"/>
      <c r="G133" s="10"/>
      <c r="H133" s="10"/>
      <c r="I133" s="10"/>
      <c r="J133" s="10"/>
      <c r="K133" s="10"/>
    </row>
    <row r="134" spans="4:11" x14ac:dyDescent="0.2">
      <c r="D134" s="10"/>
      <c r="E134" s="10"/>
      <c r="F134" s="10"/>
      <c r="G134" s="10"/>
      <c r="H134" s="10"/>
      <c r="I134" s="10"/>
      <c r="J134" s="10"/>
      <c r="K134" s="10"/>
    </row>
    <row r="135" spans="4:11" x14ac:dyDescent="0.2">
      <c r="D135" s="10"/>
      <c r="E135" s="10"/>
      <c r="F135" s="10"/>
      <c r="G135" s="10"/>
      <c r="H135" s="10"/>
      <c r="I135" s="10"/>
      <c r="J135" s="10"/>
      <c r="K135" s="10"/>
    </row>
    <row r="136" spans="4:11" x14ac:dyDescent="0.2">
      <c r="D136" s="10"/>
      <c r="E136" s="10"/>
      <c r="F136" s="10"/>
      <c r="G136" s="10"/>
      <c r="H136" s="10"/>
      <c r="I136" s="10"/>
      <c r="J136" s="10"/>
      <c r="K136" s="10"/>
    </row>
    <row r="137" spans="4:11" x14ac:dyDescent="0.2">
      <c r="D137" s="10"/>
      <c r="E137" s="10"/>
      <c r="F137" s="10"/>
      <c r="G137" s="10"/>
      <c r="H137" s="10"/>
      <c r="I137" s="10"/>
      <c r="J137" s="10"/>
      <c r="K137" s="10"/>
    </row>
    <row r="138" spans="4:11" x14ac:dyDescent="0.2">
      <c r="D138" s="10"/>
      <c r="E138" s="10"/>
      <c r="F138" s="10"/>
      <c r="G138" s="10"/>
      <c r="H138" s="10"/>
      <c r="I138" s="10"/>
      <c r="J138" s="10"/>
      <c r="K138" s="10"/>
    </row>
    <row r="139" spans="4:11" x14ac:dyDescent="0.2">
      <c r="D139" s="10"/>
      <c r="E139" s="10"/>
      <c r="F139" s="10"/>
      <c r="G139" s="10"/>
      <c r="H139" s="10"/>
      <c r="I139" s="10"/>
      <c r="J139" s="10"/>
      <c r="K139" s="10"/>
    </row>
    <row r="140" spans="4:11" x14ac:dyDescent="0.2">
      <c r="D140" s="10"/>
      <c r="E140" s="10"/>
      <c r="F140" s="10"/>
      <c r="G140" s="10"/>
      <c r="H140" s="10"/>
      <c r="I140" s="10"/>
      <c r="J140" s="10"/>
      <c r="K140" s="10"/>
    </row>
    <row r="141" spans="4:11" x14ac:dyDescent="0.2">
      <c r="D141" s="10"/>
      <c r="E141" s="10"/>
      <c r="F141" s="10"/>
      <c r="G141" s="10"/>
      <c r="H141" s="10"/>
      <c r="I141" s="10"/>
      <c r="J141" s="10"/>
      <c r="K141" s="10"/>
    </row>
  </sheetData>
  <phoneticPr fontId="0" type="noConversion"/>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ontfp">
                <anchor moveWithCells="1">
                  <from>
                    <xdr:col>3</xdr:col>
                    <xdr:colOff>133350</xdr:colOff>
                    <xdr:row>25</xdr:row>
                    <xdr:rowOff>0</xdr:rowOff>
                  </from>
                  <to>
                    <xdr:col>5</xdr:col>
                    <xdr:colOff>657225</xdr:colOff>
                    <xdr:row>26</xdr:row>
                    <xdr:rowOff>19050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A9F38-626B-4518-B68C-91FCBD6B4A58}">
  <sheetPr codeName="Sheet10"/>
  <dimension ref="A1:M38"/>
  <sheetViews>
    <sheetView workbookViewId="0">
      <selection activeCell="C9" sqref="C9"/>
    </sheetView>
  </sheetViews>
  <sheetFormatPr defaultRowHeight="12.75" x14ac:dyDescent="0.2"/>
  <cols>
    <col min="1" max="1" width="1.7109375" style="40" customWidth="1"/>
    <col min="2" max="2" width="1.7109375" style="41" customWidth="1"/>
    <col min="3" max="11" width="15.7109375" style="39" customWidth="1"/>
    <col min="12" max="13" width="15.7109375" style="23" customWidth="1"/>
    <col min="14" max="17" width="15.7109375" customWidth="1"/>
  </cols>
  <sheetData>
    <row r="1" spans="1:11" ht="15" x14ac:dyDescent="0.25">
      <c r="A1" s="42"/>
      <c r="B1" s="43"/>
      <c r="C1" s="44" t="str">
        <f>TestSeries&amp;" "&amp;TestID&amp;" with modes calculated by SpanFat including ARCH ACTION"</f>
        <v>Shell 5024 with modes calculated by SpanFat including ARCH ACTION</v>
      </c>
      <c r="D1" s="44"/>
      <c r="E1" s="44"/>
      <c r="F1" s="44"/>
      <c r="G1" s="44"/>
      <c r="H1" s="44"/>
      <c r="I1" s="44"/>
      <c r="J1" s="44"/>
      <c r="K1" s="44"/>
    </row>
    <row r="2" spans="1:11" ht="15" x14ac:dyDescent="0.25">
      <c r="A2" s="42"/>
      <c r="B2" s="43"/>
      <c r="C2" s="44">
        <v>1</v>
      </c>
      <c r="D2" s="44" t="s">
        <v>389</v>
      </c>
      <c r="E2" s="44"/>
      <c r="F2" s="44"/>
      <c r="G2" s="44"/>
      <c r="H2" s="44"/>
      <c r="I2" s="44"/>
      <c r="J2" s="44"/>
      <c r="K2" s="44"/>
    </row>
    <row r="3" spans="1:11" ht="15" x14ac:dyDescent="0.25">
      <c r="A3" s="42"/>
      <c r="B3" s="43"/>
      <c r="C3" s="44">
        <v>1</v>
      </c>
      <c r="D3" s="44">
        <v>0</v>
      </c>
      <c r="E3" s="44">
        <v>90</v>
      </c>
      <c r="F3" s="44" t="s">
        <v>390</v>
      </c>
      <c r="G3" s="44"/>
      <c r="H3" s="44"/>
      <c r="I3" s="44"/>
      <c r="J3" s="44"/>
      <c r="K3" s="44"/>
    </row>
    <row r="4" spans="1:11" ht="15" x14ac:dyDescent="0.25">
      <c r="A4" s="42"/>
      <c r="B4" s="43"/>
      <c r="C4" s="44">
        <v>5</v>
      </c>
      <c r="D4" s="44" t="s">
        <v>391</v>
      </c>
      <c r="E4" s="44"/>
      <c r="F4" s="44"/>
      <c r="G4" s="44"/>
      <c r="H4" s="44"/>
      <c r="I4" s="44"/>
      <c r="J4" s="44"/>
      <c r="K4" s="44"/>
    </row>
    <row r="5" spans="1:11" ht="15" x14ac:dyDescent="0.25">
      <c r="A5" s="42"/>
      <c r="B5" s="43"/>
      <c r="C5" s="44">
        <v>1</v>
      </c>
      <c r="D5" s="44" t="s">
        <v>392</v>
      </c>
      <c r="E5" s="44"/>
      <c r="F5" s="44"/>
      <c r="G5" s="44"/>
      <c r="H5" s="44"/>
      <c r="I5" s="44"/>
      <c r="J5" s="44"/>
      <c r="K5" s="44"/>
    </row>
    <row r="6" spans="1:11" ht="15" x14ac:dyDescent="0.25">
      <c r="A6" s="42"/>
      <c r="B6" s="43"/>
      <c r="C6" s="44">
        <f>1000*Dc</f>
        <v>80</v>
      </c>
      <c r="D6" s="44" t="s">
        <v>393</v>
      </c>
      <c r="E6" s="44"/>
      <c r="F6" s="44"/>
      <c r="G6" s="44"/>
      <c r="H6" s="44"/>
      <c r="I6" s="44"/>
      <c r="J6" s="44"/>
      <c r="K6" s="44"/>
    </row>
    <row r="7" spans="1:11" ht="15" x14ac:dyDescent="0.25">
      <c r="A7" s="42"/>
      <c r="B7" s="43"/>
      <c r="C7" s="44">
        <v>1</v>
      </c>
      <c r="D7" s="44" t="s">
        <v>394</v>
      </c>
      <c r="E7" s="44"/>
      <c r="F7" s="44"/>
      <c r="G7" s="44"/>
      <c r="H7" s="44"/>
      <c r="I7" s="44"/>
      <c r="J7" s="44"/>
      <c r="K7" s="44"/>
    </row>
    <row r="8" spans="1:11" ht="15" x14ac:dyDescent="0.25">
      <c r="A8" s="42"/>
      <c r="B8" s="43"/>
      <c r="C8" s="44">
        <f>mratio</f>
        <v>1.1399999999999999</v>
      </c>
      <c r="D8" s="44" t="s">
        <v>395</v>
      </c>
      <c r="E8" s="44"/>
      <c r="F8" s="44"/>
      <c r="G8" s="44"/>
      <c r="H8" s="44"/>
      <c r="I8" s="44"/>
      <c r="J8" s="44"/>
      <c r="K8" s="44"/>
    </row>
    <row r="9" spans="1:11" ht="15" x14ac:dyDescent="0.25">
      <c r="A9" s="42"/>
      <c r="B9" s="43"/>
      <c r="C9" s="44">
        <f>ro_w/1000</f>
        <v>1</v>
      </c>
      <c r="D9" s="44" t="s">
        <v>396</v>
      </c>
      <c r="E9" s="44"/>
      <c r="F9" s="44"/>
      <c r="G9" s="44"/>
      <c r="H9" s="44"/>
      <c r="I9" s="44"/>
      <c r="J9" s="44"/>
      <c r="K9" s="44"/>
    </row>
    <row r="10" spans="1:11" ht="15" x14ac:dyDescent="0.25">
      <c r="A10" s="42"/>
      <c r="B10" s="43"/>
      <c r="C10" s="44" cm="1">
        <f t="array" ref="C10">NMIL</f>
        <v>20</v>
      </c>
      <c r="D10" s="44" cm="1">
        <f t="array" ref="D10">NMIV</f>
        <v>12</v>
      </c>
      <c r="E10" s="44">
        <f>C12-1</f>
        <v>151</v>
      </c>
      <c r="F10" s="44" t="s">
        <v>397</v>
      </c>
      <c r="G10" s="44" t="s">
        <v>398</v>
      </c>
      <c r="H10" s="44"/>
      <c r="I10" s="44"/>
      <c r="J10" s="44"/>
      <c r="K10" s="44"/>
    </row>
    <row r="11" spans="1:11" ht="15" x14ac:dyDescent="0.25">
      <c r="A11" s="42"/>
      <c r="B11" s="43"/>
      <c r="C11" s="44">
        <v>0</v>
      </c>
      <c r="D11" s="44">
        <v>0</v>
      </c>
      <c r="E11" s="44" t="s">
        <v>399</v>
      </c>
      <c r="F11" s="44"/>
      <c r="G11" s="44"/>
      <c r="H11" s="44"/>
      <c r="I11" s="44"/>
      <c r="J11" s="44"/>
      <c r="K11" s="44"/>
    </row>
    <row r="12" spans="1:11" ht="15" x14ac:dyDescent="0.25">
      <c r="A12" s="42"/>
      <c r="B12" s="43"/>
      <c r="C12" s="45">
        <v>152</v>
      </c>
      <c r="D12" s="44">
        <f>Lspan</f>
        <v>38</v>
      </c>
      <c r="E12" s="44" t="s">
        <v>399</v>
      </c>
      <c r="F12" s="44"/>
      <c r="G12" s="44"/>
      <c r="H12" s="44"/>
      <c r="I12" s="44"/>
      <c r="J12" s="44"/>
      <c r="K12" s="44"/>
    </row>
    <row r="13" spans="1:11" ht="15" x14ac:dyDescent="0.25">
      <c r="A13" s="42"/>
      <c r="B13" s="43"/>
      <c r="C13" s="44">
        <v>1</v>
      </c>
      <c r="D13" s="44" t="s">
        <v>400</v>
      </c>
      <c r="E13" s="44"/>
      <c r="F13" s="44"/>
      <c r="G13" s="44"/>
      <c r="H13" s="44"/>
      <c r="I13" s="44"/>
      <c r="J13" s="44"/>
      <c r="K13" s="44"/>
    </row>
    <row r="14" spans="1:11" ht="15" x14ac:dyDescent="0.25">
      <c r="A14" s="42"/>
      <c r="B14" s="43"/>
      <c r="C14" s="44">
        <v>0</v>
      </c>
      <c r="D14" s="44" t="s">
        <v>401</v>
      </c>
      <c r="E14" s="44"/>
      <c r="F14" s="44"/>
      <c r="G14" s="44"/>
      <c r="H14" s="44"/>
      <c r="I14" s="44"/>
      <c r="J14" s="44"/>
      <c r="K14" s="44"/>
    </row>
    <row r="15" spans="1:11" ht="15" x14ac:dyDescent="0.25">
      <c r="A15" s="42"/>
      <c r="B15" s="43"/>
      <c r="C15" s="44">
        <f>-Lspan</f>
        <v>-38</v>
      </c>
      <c r="D15" s="44">
        <f>Navg/10^6</f>
        <v>6.3635771484374997E-3</v>
      </c>
      <c r="E15" s="44" t="s">
        <v>402</v>
      </c>
      <c r="F15" s="44"/>
      <c r="G15" s="44"/>
      <c r="H15" s="44"/>
      <c r="I15" s="44"/>
      <c r="J15" s="44"/>
      <c r="K15" s="44"/>
    </row>
    <row r="16" spans="1:11" s="23" customFormat="1" ht="15" x14ac:dyDescent="0.25">
      <c r="A16" s="42"/>
      <c r="B16" s="43"/>
      <c r="C16" s="44">
        <f>EI/10^6</f>
        <v>5.7229999999999998E-4</v>
      </c>
      <c r="D16" s="44">
        <f>EpipeUsed/10^6</f>
        <v>34600</v>
      </c>
      <c r="E16" s="44">
        <f>Dc/2</f>
        <v>0.04</v>
      </c>
      <c r="F16" s="44" t="s">
        <v>403</v>
      </c>
      <c r="G16" s="44"/>
      <c r="H16" s="44"/>
      <c r="I16" s="44"/>
      <c r="J16" s="44"/>
      <c r="K16" s="44"/>
    </row>
    <row r="17" spans="1:11" s="23" customFormat="1" ht="15" x14ac:dyDescent="0.25">
      <c r="A17" s="42"/>
      <c r="B17" s="43"/>
      <c r="C17" s="44">
        <f>EA/10^6</f>
        <v>7.8262999999999998</v>
      </c>
      <c r="D17" s="44">
        <f>Lea</f>
        <v>410.68095238095236</v>
      </c>
      <c r="E17" s="45">
        <f>SQRT(qc^2-qw^2)/10^6</f>
        <v>1.9830299951353392E-5</v>
      </c>
      <c r="F17" s="45">
        <f>qw/10^6</f>
        <v>6.6850417092546096E-6</v>
      </c>
      <c r="G17" s="44" t="s">
        <v>426</v>
      </c>
      <c r="H17" s="44"/>
      <c r="I17" s="44"/>
      <c r="J17" s="44"/>
      <c r="K17" s="44"/>
    </row>
    <row r="18" spans="1:11" s="23" customFormat="1" ht="15" x14ac:dyDescent="0.25">
      <c r="A18" s="42"/>
      <c r="B18" s="43"/>
      <c r="C18" s="44">
        <v>3</v>
      </c>
      <c r="D18" s="44" t="s">
        <v>427</v>
      </c>
      <c r="E18" s="44"/>
      <c r="F18" s="44"/>
      <c r="G18" s="44"/>
      <c r="H18" s="44"/>
      <c r="I18" s="44"/>
      <c r="J18" s="44"/>
      <c r="K18" s="44"/>
    </row>
    <row r="19" spans="1:11" s="23" customFormat="1" ht="15" x14ac:dyDescent="0.25">
      <c r="A19" s="42"/>
      <c r="B19" s="43"/>
      <c r="C19" s="44">
        <v>1</v>
      </c>
      <c r="D19" s="45">
        <v>0</v>
      </c>
      <c r="E19" s="44" t="s">
        <v>404</v>
      </c>
      <c r="F19" s="44" t="s">
        <v>405</v>
      </c>
      <c r="G19" s="44"/>
      <c r="H19" s="44"/>
      <c r="I19" s="44"/>
      <c r="J19" s="44"/>
      <c r="K19" s="44"/>
    </row>
    <row r="20" spans="1:11" s="23" customFormat="1" ht="15" x14ac:dyDescent="0.25">
      <c r="A20" s="42"/>
      <c r="B20" s="43"/>
      <c r="C20" s="44">
        <f>NMIL</f>
        <v>20</v>
      </c>
      <c r="D20" s="45">
        <f>$D$19</f>
        <v>0</v>
      </c>
      <c r="E20" s="44" t="s">
        <v>404</v>
      </c>
      <c r="F20" s="44"/>
      <c r="G20" s="44"/>
      <c r="H20" s="44"/>
      <c r="I20" s="44"/>
      <c r="J20" s="44"/>
      <c r="K20" s="44"/>
    </row>
    <row r="21" spans="1:11" s="23" customFormat="1" ht="15" x14ac:dyDescent="0.25">
      <c r="A21" s="42"/>
      <c r="B21" s="43"/>
      <c r="C21" s="44">
        <v>0</v>
      </c>
      <c r="D21" s="44" t="s">
        <v>406</v>
      </c>
      <c r="E21" s="44"/>
      <c r="F21" s="44"/>
      <c r="G21" s="44"/>
      <c r="H21" s="44"/>
      <c r="I21" s="44"/>
      <c r="J21" s="44"/>
      <c r="K21" s="44"/>
    </row>
    <row r="22" spans="1:11" s="23" customFormat="1" ht="15" x14ac:dyDescent="0.25">
      <c r="A22" s="42"/>
      <c r="B22" s="43"/>
      <c r="C22" s="44">
        <v>1</v>
      </c>
      <c r="D22" s="45">
        <f t="shared" ref="D22:D23" si="0">$D$19</f>
        <v>0</v>
      </c>
      <c r="E22" s="44" t="s">
        <v>407</v>
      </c>
      <c r="F22" s="44"/>
      <c r="G22" s="44"/>
      <c r="H22" s="44"/>
      <c r="I22" s="44"/>
      <c r="J22" s="44"/>
      <c r="K22" s="44"/>
    </row>
    <row r="23" spans="1:11" s="23" customFormat="1" ht="15" x14ac:dyDescent="0.25">
      <c r="A23" s="42"/>
      <c r="B23" s="43"/>
      <c r="C23" s="44">
        <f>NMIV</f>
        <v>12</v>
      </c>
      <c r="D23" s="45">
        <f t="shared" si="0"/>
        <v>0</v>
      </c>
      <c r="E23" s="44" t="s">
        <v>407</v>
      </c>
      <c r="F23" s="44"/>
      <c r="G23" s="44"/>
      <c r="H23" s="44"/>
      <c r="I23" s="44"/>
      <c r="J23" s="44"/>
      <c r="K23" s="44"/>
    </row>
    <row r="24" spans="1:11" s="23" customFormat="1" ht="15" x14ac:dyDescent="0.25">
      <c r="A24" s="42"/>
      <c r="B24" s="43"/>
      <c r="C24" s="44">
        <v>0</v>
      </c>
      <c r="D24" s="44" t="s">
        <v>408</v>
      </c>
      <c r="E24" s="44"/>
      <c r="F24" s="44"/>
      <c r="G24" s="44"/>
      <c r="H24" s="44"/>
      <c r="I24" s="44"/>
      <c r="J24" s="44"/>
      <c r="K24" s="44"/>
    </row>
    <row r="25" spans="1:11" s="23" customFormat="1" ht="15" x14ac:dyDescent="0.25">
      <c r="A25" s="42"/>
      <c r="B25" s="43"/>
      <c r="C25" s="44">
        <f>Uc/Dc</f>
        <v>6.261085718870163</v>
      </c>
      <c r="D25" s="44">
        <f>C25/2</f>
        <v>3.1305428594350815</v>
      </c>
      <c r="E25" s="44" t="s">
        <v>409</v>
      </c>
      <c r="F25" s="44" t="s">
        <v>410</v>
      </c>
      <c r="G25" s="44"/>
      <c r="H25" s="44"/>
      <c r="I25" s="44"/>
      <c r="J25" s="44"/>
      <c r="K25" s="44"/>
    </row>
    <row r="26" spans="1:11" s="23" customFormat="1" ht="15" x14ac:dyDescent="0.25">
      <c r="A26" s="42"/>
      <c r="B26" s="43"/>
      <c r="C26" s="44">
        <v>2</v>
      </c>
      <c r="D26" s="44" t="s">
        <v>411</v>
      </c>
      <c r="E26" s="44"/>
      <c r="F26" s="44"/>
      <c r="G26" s="44"/>
      <c r="H26" s="44"/>
      <c r="I26" s="44"/>
      <c r="J26" s="44"/>
      <c r="K26" s="44"/>
    </row>
    <row r="27" spans="1:11" s="23" customFormat="1" ht="15" x14ac:dyDescent="0.25">
      <c r="A27" s="42"/>
      <c r="B27" s="43"/>
      <c r="C27" s="44">
        <v>1</v>
      </c>
      <c r="D27" s="44">
        <f>epsFR*EpipeUsed/10^6</f>
        <v>3822.4067621986587</v>
      </c>
      <c r="E27" s="44" t="s">
        <v>412</v>
      </c>
      <c r="F27" s="44"/>
      <c r="G27" s="44"/>
      <c r="H27" s="44"/>
      <c r="I27" s="44"/>
      <c r="J27" s="44"/>
      <c r="K27" s="44"/>
    </row>
    <row r="28" spans="1:11" s="23" customFormat="1" ht="15" x14ac:dyDescent="0.25">
      <c r="A28" s="42"/>
      <c r="B28" s="43"/>
      <c r="C28" s="44">
        <f>C27*10^nfat</f>
        <v>5495.4087385762541</v>
      </c>
      <c r="D28" s="44">
        <f>D27/10</f>
        <v>382.24067621986586</v>
      </c>
      <c r="E28" s="44" t="s">
        <v>412</v>
      </c>
      <c r="F28" s="44"/>
      <c r="G28" s="44"/>
      <c r="H28" s="44"/>
      <c r="I28" s="44"/>
      <c r="J28" s="44"/>
      <c r="K28" s="44"/>
    </row>
    <row r="29" spans="1:11" s="23" customFormat="1" ht="15" x14ac:dyDescent="0.25">
      <c r="A29" s="42"/>
      <c r="B29" s="43"/>
      <c r="C29" s="44">
        <v>1</v>
      </c>
      <c r="D29" s="44">
        <v>25</v>
      </c>
      <c r="E29" s="44">
        <v>1</v>
      </c>
      <c r="F29" s="44" t="s">
        <v>413</v>
      </c>
      <c r="G29" s="44"/>
      <c r="H29" s="44"/>
      <c r="I29" s="44"/>
      <c r="J29" s="44"/>
      <c r="K29" s="44"/>
    </row>
    <row r="30" spans="1:11" s="23" customFormat="1" ht="15" x14ac:dyDescent="0.25">
      <c r="A30" s="42"/>
      <c r="B30" s="43"/>
      <c r="C30" s="44">
        <v>1</v>
      </c>
      <c r="D30" s="44" t="s">
        <v>414</v>
      </c>
      <c r="E30" s="44"/>
      <c r="F30" s="44"/>
      <c r="G30" s="44"/>
      <c r="H30" s="44"/>
      <c r="I30" s="44"/>
      <c r="J30" s="44"/>
      <c r="K30" s="44"/>
    </row>
    <row r="31" spans="1:11" s="23" customFormat="1" ht="15" x14ac:dyDescent="0.25">
      <c r="A31" s="42"/>
      <c r="B31" s="43"/>
      <c r="C31" s="44">
        <v>0</v>
      </c>
      <c r="D31" s="44">
        <v>-1</v>
      </c>
      <c r="E31" s="44" t="s">
        <v>415</v>
      </c>
      <c r="F31" s="44"/>
      <c r="G31" s="44"/>
      <c r="H31" s="44"/>
      <c r="I31" s="44"/>
      <c r="J31" s="44"/>
      <c r="K31" s="44"/>
    </row>
    <row r="32" spans="1:11" s="23" customFormat="1" ht="15" x14ac:dyDescent="0.25">
      <c r="A32" s="42"/>
      <c r="B32" s="43"/>
      <c r="C32" s="44">
        <v>1</v>
      </c>
      <c r="D32" s="44">
        <v>1</v>
      </c>
      <c r="E32" s="44" t="s">
        <v>416</v>
      </c>
      <c r="F32" s="44"/>
      <c r="G32" s="44"/>
      <c r="H32" s="44"/>
      <c r="I32" s="44"/>
      <c r="J32" s="44"/>
      <c r="K32" s="44"/>
    </row>
    <row r="33" spans="1:11" s="23" customFormat="1" ht="15" x14ac:dyDescent="0.25">
      <c r="A33" s="42"/>
      <c r="B33" s="43"/>
      <c r="C33" s="44">
        <v>1</v>
      </c>
      <c r="D33" s="44">
        <v>1</v>
      </c>
      <c r="E33" s="44" t="s">
        <v>417</v>
      </c>
      <c r="F33" s="44"/>
      <c r="G33" s="44"/>
      <c r="H33" s="44"/>
      <c r="I33" s="44"/>
      <c r="J33" s="44"/>
      <c r="K33" s="44"/>
    </row>
    <row r="34" spans="1:11" s="23" customFormat="1" ht="15" x14ac:dyDescent="0.25">
      <c r="A34" s="42"/>
      <c r="B34" s="43"/>
      <c r="C34" s="44">
        <v>0.1</v>
      </c>
      <c r="D34" s="44" t="s">
        <v>418</v>
      </c>
      <c r="E34" s="44"/>
      <c r="F34" s="44"/>
      <c r="G34" s="44"/>
      <c r="H34" s="44"/>
      <c r="I34" s="44"/>
      <c r="J34" s="44"/>
      <c r="K34" s="44"/>
    </row>
    <row r="35" spans="1:11" s="23" customFormat="1" ht="15" x14ac:dyDescent="0.25">
      <c r="A35" s="42"/>
      <c r="B35" s="43"/>
      <c r="C35" s="44">
        <f>Uc</f>
        <v>0.50088685750961304</v>
      </c>
      <c r="D35" s="44">
        <v>0</v>
      </c>
      <c r="E35" s="44" t="s">
        <v>419</v>
      </c>
      <c r="F35" s="44"/>
      <c r="G35" s="44"/>
      <c r="H35" s="44"/>
      <c r="I35" s="44"/>
      <c r="J35" s="44"/>
      <c r="K35" s="44"/>
    </row>
    <row r="36" spans="1:11" s="23" customFormat="1" ht="15" x14ac:dyDescent="0.25">
      <c r="A36" s="42"/>
      <c r="B36" s="43"/>
      <c r="C36" s="44">
        <v>1</v>
      </c>
      <c r="D36" s="44" t="s">
        <v>420</v>
      </c>
      <c r="E36" s="44"/>
      <c r="F36" s="44"/>
      <c r="G36" s="44"/>
      <c r="H36" s="44"/>
      <c r="I36" s="44"/>
      <c r="J36" s="44"/>
      <c r="K36" s="44"/>
    </row>
    <row r="37" spans="1:11" s="23" customFormat="1" ht="15" x14ac:dyDescent="0.25">
      <c r="A37" s="42"/>
      <c r="B37" s="43"/>
      <c r="C37" s="45">
        <v>0</v>
      </c>
      <c r="D37" s="44" t="s">
        <v>421</v>
      </c>
      <c r="E37" s="44"/>
      <c r="F37" s="44"/>
      <c r="G37" s="44"/>
      <c r="H37" s="44"/>
      <c r="I37" s="44"/>
      <c r="J37" s="44"/>
      <c r="K37" s="44"/>
    </row>
    <row r="38" spans="1:11" s="23" customFormat="1" ht="15" x14ac:dyDescent="0.25">
      <c r="A38" s="42"/>
      <c r="B38" s="43"/>
      <c r="C38" s="44">
        <v>0</v>
      </c>
      <c r="D38" s="44" t="s">
        <v>422</v>
      </c>
      <c r="E38" s="44"/>
      <c r="F38" s="44"/>
      <c r="G38" s="44"/>
      <c r="H38" s="44"/>
      <c r="I38" s="44"/>
      <c r="J38" s="44"/>
      <c r="K38" s="44"/>
    </row>
  </sheetData>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A2D4-A56A-4618-964F-6BF196542044}">
  <sheetPr codeName="Sheet12"/>
  <dimension ref="A1:M36"/>
  <sheetViews>
    <sheetView workbookViewId="0">
      <selection activeCell="D23" sqref="D23"/>
    </sheetView>
  </sheetViews>
  <sheetFormatPr defaultRowHeight="12.75" x14ac:dyDescent="0.2"/>
  <cols>
    <col min="1" max="1" width="1.7109375" style="40" customWidth="1"/>
    <col min="2" max="2" width="1.7109375" style="41" customWidth="1"/>
    <col min="3" max="11" width="15.7109375" style="39" customWidth="1"/>
    <col min="12" max="13" width="15.7109375" style="23" customWidth="1"/>
    <col min="14" max="17" width="15.7109375" customWidth="1"/>
  </cols>
  <sheetData>
    <row r="1" spans="1:11" ht="15" x14ac:dyDescent="0.25">
      <c r="A1" s="42"/>
      <c r="B1" s="43"/>
      <c r="C1" s="58" t="s">
        <v>520</v>
      </c>
      <c r="D1" s="44"/>
      <c r="E1" s="44"/>
      <c r="F1" s="44"/>
      <c r="G1" s="44"/>
      <c r="H1" s="44"/>
      <c r="I1" s="44"/>
      <c r="J1" s="44"/>
      <c r="K1" s="44"/>
    </row>
    <row r="2" spans="1:11" ht="15" x14ac:dyDescent="0.25">
      <c r="A2" s="42"/>
      <c r="B2" s="43"/>
      <c r="C2" s="44">
        <v>1</v>
      </c>
      <c r="D2" s="44" t="s">
        <v>389</v>
      </c>
      <c r="E2" s="44"/>
      <c r="F2" s="44"/>
      <c r="G2" s="44"/>
      <c r="H2" s="44"/>
      <c r="I2" s="44"/>
      <c r="J2" s="44"/>
      <c r="K2" s="44"/>
    </row>
    <row r="3" spans="1:11" ht="15" x14ac:dyDescent="0.25">
      <c r="A3" s="42"/>
      <c r="B3" s="43"/>
      <c r="C3" s="44">
        <v>1</v>
      </c>
      <c r="D3" s="44">
        <v>0</v>
      </c>
      <c r="E3" s="44">
        <v>90</v>
      </c>
      <c r="F3" s="44" t="s">
        <v>390</v>
      </c>
      <c r="G3" s="44"/>
      <c r="H3" s="44"/>
      <c r="I3" s="44"/>
      <c r="J3" s="44"/>
      <c r="K3" s="44"/>
    </row>
    <row r="4" spans="1:11" ht="15" x14ac:dyDescent="0.25">
      <c r="A4" s="42"/>
      <c r="B4" s="43"/>
      <c r="C4" s="44">
        <v>5</v>
      </c>
      <c r="D4" s="44" t="s">
        <v>391</v>
      </c>
      <c r="E4" s="44"/>
      <c r="F4" s="44"/>
      <c r="G4" s="44"/>
      <c r="H4" s="44"/>
      <c r="I4" s="44"/>
      <c r="J4" s="44"/>
      <c r="K4" s="44"/>
    </row>
    <row r="5" spans="1:11" ht="15" x14ac:dyDescent="0.25">
      <c r="A5" s="42"/>
      <c r="B5" s="43"/>
      <c r="C5" s="44">
        <v>1</v>
      </c>
      <c r="D5" s="44" t="s">
        <v>392</v>
      </c>
      <c r="E5" s="44"/>
      <c r="F5" s="44"/>
      <c r="G5" s="44"/>
      <c r="H5" s="44"/>
      <c r="I5" s="44"/>
      <c r="J5" s="44"/>
      <c r="K5" s="44"/>
    </row>
    <row r="6" spans="1:11" ht="15" x14ac:dyDescent="0.25">
      <c r="A6" s="42"/>
      <c r="B6" s="43"/>
      <c r="C6" s="59">
        <f>Dc_p*1000</f>
        <v>701.59999999999991</v>
      </c>
      <c r="D6" s="44" t="s">
        <v>393</v>
      </c>
      <c r="E6" s="44"/>
      <c r="F6" s="44"/>
      <c r="G6" s="44"/>
      <c r="H6" s="44"/>
      <c r="I6" s="44"/>
      <c r="J6" s="44"/>
      <c r="K6" s="44"/>
    </row>
    <row r="7" spans="1:11" ht="15" x14ac:dyDescent="0.25">
      <c r="A7" s="42"/>
      <c r="B7" s="43"/>
      <c r="C7" s="59">
        <f>ts*1000</f>
        <v>17</v>
      </c>
      <c r="D7" s="44" t="s">
        <v>394</v>
      </c>
      <c r="E7" s="44"/>
      <c r="F7" s="44"/>
      <c r="G7" s="44"/>
      <c r="H7" s="44"/>
      <c r="I7" s="44"/>
      <c r="J7" s="44"/>
      <c r="K7" s="44"/>
    </row>
    <row r="8" spans="1:11" ht="15" x14ac:dyDescent="0.25">
      <c r="A8" s="42"/>
      <c r="B8" s="43"/>
      <c r="C8" s="59">
        <f>mratio_p</f>
        <v>1.234217093018968</v>
      </c>
      <c r="D8" s="44" t="s">
        <v>395</v>
      </c>
      <c r="E8" s="44"/>
      <c r="F8" s="44"/>
      <c r="G8" s="44"/>
      <c r="H8" s="44"/>
      <c r="I8" s="44"/>
      <c r="J8" s="44"/>
      <c r="K8" s="44"/>
    </row>
    <row r="9" spans="1:11" ht="15" x14ac:dyDescent="0.25">
      <c r="A9" s="42"/>
      <c r="B9" s="43"/>
      <c r="C9" s="59">
        <f>rhosw/1000</f>
        <v>1.0249999999999999</v>
      </c>
      <c r="D9" s="44" t="s">
        <v>396</v>
      </c>
      <c r="E9" s="44"/>
      <c r="F9" s="44"/>
      <c r="G9" s="44"/>
      <c r="H9" s="44"/>
      <c r="I9" s="44"/>
      <c r="J9" s="44"/>
      <c r="K9" s="44"/>
    </row>
    <row r="10" spans="1:11" ht="15" x14ac:dyDescent="0.25">
      <c r="A10" s="42"/>
      <c r="B10" s="43"/>
      <c r="C10" s="59" cm="1">
        <f t="array" ref="C10">NMIL</f>
        <v>20</v>
      </c>
      <c r="D10" s="59" cm="1">
        <f t="array" ref="D10">NMIV</f>
        <v>12</v>
      </c>
      <c r="E10" s="59">
        <f>C12-1</f>
        <v>151</v>
      </c>
      <c r="F10" s="44" t="s">
        <v>397</v>
      </c>
      <c r="G10" s="44" t="s">
        <v>398</v>
      </c>
      <c r="H10" s="44"/>
      <c r="I10" s="44"/>
      <c r="J10" s="44"/>
      <c r="K10" s="44"/>
    </row>
    <row r="11" spans="1:11" ht="15" x14ac:dyDescent="0.25">
      <c r="A11" s="42"/>
      <c r="B11" s="43"/>
      <c r="C11" s="44">
        <v>0</v>
      </c>
      <c r="D11" s="44">
        <v>0</v>
      </c>
      <c r="E11" s="44" t="s">
        <v>399</v>
      </c>
      <c r="F11" s="44"/>
      <c r="G11" s="44"/>
      <c r="H11" s="44"/>
      <c r="I11" s="44"/>
      <c r="J11" s="44"/>
      <c r="K11" s="44"/>
    </row>
    <row r="12" spans="1:11" ht="15" x14ac:dyDescent="0.25">
      <c r="A12" s="42"/>
      <c r="B12" s="43"/>
      <c r="C12" s="45">
        <v>152</v>
      </c>
      <c r="D12" s="59">
        <f>Lspan_p</f>
        <v>150</v>
      </c>
      <c r="E12" s="44" t="s">
        <v>399</v>
      </c>
      <c r="F12" s="44"/>
      <c r="G12" s="44"/>
      <c r="H12" s="44"/>
      <c r="I12" s="44"/>
      <c r="J12" s="44"/>
      <c r="K12" s="44"/>
    </row>
    <row r="13" spans="1:11" ht="15" x14ac:dyDescent="0.25">
      <c r="A13" s="42"/>
      <c r="B13" s="43"/>
      <c r="C13" s="44">
        <v>1</v>
      </c>
      <c r="D13" s="44" t="s">
        <v>400</v>
      </c>
      <c r="E13" s="44"/>
      <c r="F13" s="44"/>
      <c r="G13" s="44"/>
      <c r="H13" s="44"/>
      <c r="I13" s="44"/>
      <c r="J13" s="44"/>
      <c r="K13" s="44"/>
    </row>
    <row r="14" spans="1:11" ht="15" x14ac:dyDescent="0.25">
      <c r="A14" s="42"/>
      <c r="B14" s="43"/>
      <c r="C14" s="44">
        <v>0</v>
      </c>
      <c r="D14" s="44" t="s">
        <v>401</v>
      </c>
      <c r="E14" s="44"/>
      <c r="F14" s="44"/>
      <c r="G14" s="44"/>
      <c r="H14" s="44"/>
      <c r="I14" s="44"/>
      <c r="J14" s="44"/>
      <c r="K14" s="44"/>
    </row>
    <row r="15" spans="1:11" ht="15" x14ac:dyDescent="0.25">
      <c r="A15" s="42"/>
      <c r="B15" s="43"/>
      <c r="C15" s="59">
        <f>Lspan_p</f>
        <v>150</v>
      </c>
      <c r="D15" s="59">
        <f>N_p</f>
        <v>6.5162450815819595</v>
      </c>
      <c r="E15" s="44" t="s">
        <v>402</v>
      </c>
      <c r="F15" s="44"/>
      <c r="G15" s="44"/>
      <c r="H15" s="44"/>
      <c r="I15" s="44"/>
      <c r="J15" s="44"/>
      <c r="K15" s="44"/>
    </row>
    <row r="16" spans="1:11" ht="15" x14ac:dyDescent="0.25">
      <c r="A16" s="42"/>
      <c r="B16" s="43"/>
      <c r="C16" s="59">
        <f>EI_p</f>
        <v>287.82025295475523</v>
      </c>
      <c r="D16" s="59">
        <f>E_p</f>
        <v>207000</v>
      </c>
      <c r="E16" s="59">
        <f>Ds/2</f>
        <v>0.30479999999999996</v>
      </c>
      <c r="F16" s="44" t="s">
        <v>403</v>
      </c>
      <c r="G16" s="44"/>
      <c r="H16" s="44"/>
      <c r="I16" s="44"/>
      <c r="J16" s="44"/>
      <c r="K16" s="44"/>
    </row>
    <row r="17" spans="1:11" ht="15" x14ac:dyDescent="0.25">
      <c r="A17" s="42"/>
      <c r="B17" s="43"/>
      <c r="C17" s="44">
        <v>1</v>
      </c>
      <c r="D17" s="45">
        <v>0</v>
      </c>
      <c r="E17" s="44" t="s">
        <v>404</v>
      </c>
      <c r="F17" s="44" t="s">
        <v>405</v>
      </c>
      <c r="G17" s="44"/>
      <c r="H17" s="44"/>
      <c r="I17" s="44"/>
      <c r="J17" s="44"/>
      <c r="K17" s="44"/>
    </row>
    <row r="18" spans="1:11" ht="15" x14ac:dyDescent="0.25">
      <c r="A18" s="42"/>
      <c r="B18" s="43"/>
      <c r="C18" s="59">
        <f>NMIL</f>
        <v>20</v>
      </c>
      <c r="D18" s="60">
        <f>$D$17</f>
        <v>0</v>
      </c>
      <c r="E18" s="44" t="s">
        <v>404</v>
      </c>
      <c r="F18" s="44"/>
      <c r="G18" s="44"/>
      <c r="H18" s="44"/>
      <c r="I18" s="44"/>
      <c r="J18" s="44"/>
      <c r="K18" s="44"/>
    </row>
    <row r="19" spans="1:11" ht="15" x14ac:dyDescent="0.25">
      <c r="A19" s="42"/>
      <c r="B19" s="43"/>
      <c r="C19" s="44">
        <v>0</v>
      </c>
      <c r="D19" s="44" t="s">
        <v>406</v>
      </c>
      <c r="E19" s="44"/>
      <c r="F19" s="44"/>
      <c r="G19" s="44"/>
      <c r="H19" s="44"/>
      <c r="I19" s="44"/>
      <c r="J19" s="44"/>
      <c r="K19" s="44"/>
    </row>
    <row r="20" spans="1:11" ht="15" x14ac:dyDescent="0.25">
      <c r="A20" s="42"/>
      <c r="B20" s="43"/>
      <c r="C20" s="44">
        <v>1</v>
      </c>
      <c r="D20" s="60">
        <f t="shared" ref="D20:D21" si="0">$D$17</f>
        <v>0</v>
      </c>
      <c r="E20" s="44" t="s">
        <v>407</v>
      </c>
      <c r="F20" s="44"/>
      <c r="G20" s="44"/>
      <c r="H20" s="44"/>
      <c r="I20" s="44"/>
      <c r="J20" s="44"/>
      <c r="K20" s="44"/>
    </row>
    <row r="21" spans="1:11" ht="15" x14ac:dyDescent="0.25">
      <c r="A21" s="42"/>
      <c r="B21" s="43"/>
      <c r="C21" s="59">
        <f>NMIV</f>
        <v>12</v>
      </c>
      <c r="D21" s="60">
        <f t="shared" si="0"/>
        <v>0</v>
      </c>
      <c r="E21" s="44" t="s">
        <v>407</v>
      </c>
      <c r="F21" s="44"/>
      <c r="G21" s="44"/>
      <c r="H21" s="44"/>
      <c r="I21" s="44"/>
      <c r="J21" s="44"/>
      <c r="K21" s="44"/>
    </row>
    <row r="22" spans="1:11" ht="15" x14ac:dyDescent="0.25">
      <c r="A22" s="42"/>
      <c r="B22" s="43"/>
      <c r="C22" s="44">
        <v>0</v>
      </c>
      <c r="D22" s="44" t="s">
        <v>408</v>
      </c>
      <c r="E22" s="44"/>
      <c r="F22" s="44"/>
      <c r="G22" s="44"/>
      <c r="H22" s="44"/>
      <c r="I22" s="44"/>
      <c r="J22" s="44"/>
      <c r="K22" s="44"/>
    </row>
    <row r="23" spans="1:11" ht="15" x14ac:dyDescent="0.25">
      <c r="A23" s="42"/>
      <c r="B23" s="43"/>
      <c r="C23" s="59">
        <f>Uc_p/Dc_p</f>
        <v>5.9243968945715544</v>
      </c>
      <c r="D23" s="59">
        <f>C23/2</f>
        <v>2.9621984472857772</v>
      </c>
      <c r="E23" s="44" t="s">
        <v>409</v>
      </c>
      <c r="F23" s="44" t="s">
        <v>410</v>
      </c>
      <c r="G23" s="44"/>
      <c r="H23" s="44"/>
      <c r="I23" s="44"/>
      <c r="J23" s="44"/>
      <c r="K23" s="44"/>
    </row>
    <row r="24" spans="1:11" ht="15" x14ac:dyDescent="0.25">
      <c r="A24" s="42"/>
      <c r="B24" s="43"/>
      <c r="C24" s="44">
        <v>2</v>
      </c>
      <c r="D24" s="44" t="s">
        <v>411</v>
      </c>
      <c r="E24" s="44"/>
      <c r="F24" s="44"/>
      <c r="G24" s="44"/>
      <c r="H24" s="44"/>
      <c r="I24" s="44"/>
      <c r="J24" s="44"/>
      <c r="K24" s="44"/>
    </row>
    <row r="25" spans="1:11" ht="15" x14ac:dyDescent="0.25">
      <c r="A25" s="42"/>
      <c r="B25" s="43"/>
      <c r="C25" s="44">
        <v>1</v>
      </c>
      <c r="D25" s="59">
        <f>afat^(1/nfat)/10^6</f>
        <v>3822.4067621986587</v>
      </c>
      <c r="E25" s="44" t="s">
        <v>412</v>
      </c>
      <c r="F25" s="44"/>
      <c r="G25" s="44"/>
      <c r="H25" s="44"/>
      <c r="I25" s="44"/>
      <c r="J25" s="44"/>
      <c r="K25" s="44"/>
    </row>
    <row r="26" spans="1:11" ht="15" x14ac:dyDescent="0.25">
      <c r="A26" s="42"/>
      <c r="B26" s="43"/>
      <c r="C26" s="59">
        <f>C25*10^nfat</f>
        <v>5495.4087385762541</v>
      </c>
      <c r="D26" s="59">
        <f>D25/10</f>
        <v>382.24067621986586</v>
      </c>
      <c r="E26" s="44" t="s">
        <v>412</v>
      </c>
      <c r="F26" s="44"/>
      <c r="G26" s="44"/>
      <c r="H26" s="44"/>
      <c r="I26" s="44"/>
      <c r="J26" s="44"/>
      <c r="K26" s="44"/>
    </row>
    <row r="27" spans="1:11" ht="15" x14ac:dyDescent="0.25">
      <c r="A27" s="42"/>
      <c r="B27" s="43"/>
      <c r="C27" s="44">
        <v>1</v>
      </c>
      <c r="D27" s="44">
        <v>25</v>
      </c>
      <c r="E27" s="44">
        <v>1</v>
      </c>
      <c r="F27" s="44" t="s">
        <v>413</v>
      </c>
      <c r="G27" s="44"/>
      <c r="H27" s="44"/>
      <c r="I27" s="44"/>
      <c r="J27" s="44"/>
      <c r="K27" s="44"/>
    </row>
    <row r="28" spans="1:11" ht="15" x14ac:dyDescent="0.25">
      <c r="A28" s="42"/>
      <c r="B28" s="43"/>
      <c r="C28" s="44">
        <v>1</v>
      </c>
      <c r="D28" s="44" t="s">
        <v>414</v>
      </c>
      <c r="E28" s="44"/>
      <c r="F28" s="44"/>
      <c r="G28" s="44"/>
      <c r="H28" s="44"/>
      <c r="I28" s="44"/>
      <c r="J28" s="44"/>
      <c r="K28" s="44"/>
    </row>
    <row r="29" spans="1:11" ht="15" x14ac:dyDescent="0.25">
      <c r="A29" s="42"/>
      <c r="B29" s="43"/>
      <c r="C29" s="44">
        <v>0</v>
      </c>
      <c r="D29" s="44">
        <v>-1</v>
      </c>
      <c r="E29" s="44" t="s">
        <v>415</v>
      </c>
      <c r="F29" s="44"/>
      <c r="G29" s="44"/>
      <c r="H29" s="44"/>
      <c r="I29" s="44"/>
      <c r="J29" s="44"/>
      <c r="K29" s="44"/>
    </row>
    <row r="30" spans="1:11" ht="15" x14ac:dyDescent="0.25">
      <c r="A30" s="42"/>
      <c r="B30" s="43"/>
      <c r="C30" s="44">
        <v>1</v>
      </c>
      <c r="D30" s="44">
        <v>1</v>
      </c>
      <c r="E30" s="44" t="s">
        <v>416</v>
      </c>
      <c r="F30" s="44"/>
      <c r="G30" s="44"/>
      <c r="H30" s="44"/>
      <c r="I30" s="44"/>
      <c r="J30" s="44"/>
      <c r="K30" s="44"/>
    </row>
    <row r="31" spans="1:11" ht="15" x14ac:dyDescent="0.25">
      <c r="A31" s="42"/>
      <c r="B31" s="43"/>
      <c r="C31" s="44">
        <v>1</v>
      </c>
      <c r="D31" s="44">
        <v>1</v>
      </c>
      <c r="E31" s="44" t="s">
        <v>417</v>
      </c>
      <c r="F31" s="44"/>
      <c r="G31" s="44"/>
      <c r="H31" s="44"/>
      <c r="I31" s="44"/>
      <c r="J31" s="44"/>
      <c r="K31" s="44"/>
    </row>
    <row r="32" spans="1:11" ht="15" x14ac:dyDescent="0.25">
      <c r="A32" s="42"/>
      <c r="B32" s="43"/>
      <c r="C32" s="44">
        <v>0.1</v>
      </c>
      <c r="D32" s="44" t="s">
        <v>418</v>
      </c>
      <c r="E32" s="44"/>
      <c r="F32" s="44"/>
      <c r="G32" s="44"/>
      <c r="H32" s="44"/>
      <c r="I32" s="44"/>
      <c r="J32" s="44"/>
      <c r="K32" s="44"/>
    </row>
    <row r="33" spans="1:11" ht="15" x14ac:dyDescent="0.25">
      <c r="A33" s="42"/>
      <c r="B33" s="43"/>
      <c r="C33" s="59">
        <f>Uc_p</f>
        <v>4.1565568612314019</v>
      </c>
      <c r="D33" s="44">
        <v>0</v>
      </c>
      <c r="E33" s="44" t="s">
        <v>419</v>
      </c>
      <c r="F33" s="44"/>
      <c r="G33" s="44"/>
      <c r="H33" s="44"/>
      <c r="I33" s="44"/>
      <c r="J33" s="44"/>
      <c r="K33" s="44"/>
    </row>
    <row r="34" spans="1:11" ht="15" x14ac:dyDescent="0.25">
      <c r="A34" s="42"/>
      <c r="B34" s="43"/>
      <c r="C34" s="44">
        <v>1</v>
      </c>
      <c r="D34" s="44" t="s">
        <v>420</v>
      </c>
      <c r="E34" s="44"/>
      <c r="F34" s="44"/>
      <c r="G34" s="44"/>
      <c r="H34" s="44"/>
      <c r="I34" s="44"/>
      <c r="J34" s="44"/>
      <c r="K34" s="44"/>
    </row>
    <row r="35" spans="1:11" ht="15" x14ac:dyDescent="0.25">
      <c r="A35" s="42"/>
      <c r="B35" s="43"/>
      <c r="C35" s="45">
        <v>0</v>
      </c>
      <c r="D35" s="44" t="s">
        <v>421</v>
      </c>
      <c r="E35" s="44"/>
      <c r="F35" s="44"/>
      <c r="G35" s="44"/>
      <c r="H35" s="44"/>
      <c r="I35" s="44"/>
      <c r="J35" s="44"/>
      <c r="K35" s="44"/>
    </row>
    <row r="36" spans="1:11" ht="15" x14ac:dyDescent="0.25">
      <c r="A36" s="42"/>
      <c r="B36" s="43"/>
      <c r="C36" s="44">
        <v>0</v>
      </c>
      <c r="D36" s="44" t="s">
        <v>422</v>
      </c>
      <c r="E36" s="44"/>
      <c r="F36" s="44"/>
      <c r="G36" s="44"/>
      <c r="H36" s="44"/>
      <c r="I36" s="44"/>
      <c r="J36" s="44"/>
      <c r="K36" s="44"/>
    </row>
  </sheetDat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2F65D-ADEC-49C0-97BA-FD3BF622D94C}">
  <sheetPr codeName="Sheet13"/>
  <dimension ref="A1:M38"/>
  <sheetViews>
    <sheetView workbookViewId="0">
      <selection activeCell="C38" sqref="C38"/>
    </sheetView>
  </sheetViews>
  <sheetFormatPr defaultRowHeight="12.75" x14ac:dyDescent="0.2"/>
  <cols>
    <col min="1" max="1" width="1.7109375" style="40" customWidth="1"/>
    <col min="2" max="2" width="1.7109375" style="41" customWidth="1"/>
    <col min="3" max="11" width="15.7109375" style="39" customWidth="1"/>
    <col min="12" max="13" width="15.7109375" style="23" customWidth="1"/>
    <col min="14" max="17" width="15.7109375" customWidth="1"/>
  </cols>
  <sheetData>
    <row r="1" spans="1:11" ht="15" x14ac:dyDescent="0.25">
      <c r="A1" s="42"/>
      <c r="B1" s="43"/>
      <c r="C1" s="63" t="s">
        <v>547</v>
      </c>
      <c r="D1" s="44"/>
      <c r="E1" s="44"/>
      <c r="F1" s="44"/>
      <c r="G1" s="44"/>
      <c r="H1" s="44"/>
      <c r="I1" s="44"/>
      <c r="J1" s="44"/>
      <c r="K1" s="44"/>
    </row>
    <row r="2" spans="1:11" ht="15" x14ac:dyDescent="0.25">
      <c r="A2" s="42"/>
      <c r="B2" s="43"/>
      <c r="C2" s="44">
        <v>1</v>
      </c>
      <c r="D2" s="44" t="s">
        <v>389</v>
      </c>
      <c r="E2" s="44"/>
      <c r="F2" s="44"/>
      <c r="G2" s="44"/>
      <c r="H2" s="44"/>
      <c r="I2" s="44"/>
      <c r="J2" s="44"/>
      <c r="K2" s="44"/>
    </row>
    <row r="3" spans="1:11" ht="15" x14ac:dyDescent="0.25">
      <c r="A3" s="42"/>
      <c r="B3" s="43"/>
      <c r="C3" s="44">
        <v>1</v>
      </c>
      <c r="D3" s="44">
        <v>0</v>
      </c>
      <c r="E3" s="44">
        <v>90</v>
      </c>
      <c r="F3" s="44" t="s">
        <v>390</v>
      </c>
      <c r="G3" s="44"/>
      <c r="H3" s="44"/>
      <c r="I3" s="44"/>
      <c r="J3" s="44"/>
      <c r="K3" s="44"/>
    </row>
    <row r="4" spans="1:11" ht="15" x14ac:dyDescent="0.25">
      <c r="A4" s="42"/>
      <c r="B4" s="43"/>
      <c r="C4" s="44">
        <v>5</v>
      </c>
      <c r="D4" s="44" t="s">
        <v>391</v>
      </c>
      <c r="E4" s="44"/>
      <c r="F4" s="44"/>
      <c r="G4" s="44"/>
      <c r="H4" s="44"/>
      <c r="I4" s="44"/>
      <c r="J4" s="44"/>
      <c r="K4" s="44"/>
    </row>
    <row r="5" spans="1:11" ht="15" x14ac:dyDescent="0.25">
      <c r="A5" s="42"/>
      <c r="B5" s="43"/>
      <c r="C5" s="44">
        <v>1</v>
      </c>
      <c r="D5" s="44" t="s">
        <v>392</v>
      </c>
      <c r="E5" s="44"/>
      <c r="F5" s="44"/>
      <c r="G5" s="44"/>
      <c r="H5" s="44"/>
      <c r="I5" s="44"/>
      <c r="J5" s="44"/>
      <c r="K5" s="44"/>
    </row>
    <row r="6" spans="1:11" ht="15" x14ac:dyDescent="0.25">
      <c r="A6" s="42"/>
      <c r="B6" s="43"/>
      <c r="C6" s="59">
        <f>1000*Dc_p</f>
        <v>701.59999999999991</v>
      </c>
      <c r="D6" s="44" t="s">
        <v>393</v>
      </c>
      <c r="E6" s="44"/>
      <c r="F6" s="44"/>
      <c r="G6" s="44"/>
      <c r="H6" s="44"/>
      <c r="I6" s="44"/>
      <c r="J6" s="44"/>
      <c r="K6" s="44"/>
    </row>
    <row r="7" spans="1:11" ht="15" x14ac:dyDescent="0.25">
      <c r="A7" s="42"/>
      <c r="B7" s="43"/>
      <c r="C7" s="44">
        <f>1000*ts</f>
        <v>17</v>
      </c>
      <c r="D7" s="44" t="s">
        <v>394</v>
      </c>
      <c r="E7" s="44"/>
      <c r="F7" s="44"/>
      <c r="G7" s="44"/>
      <c r="H7" s="44"/>
      <c r="I7" s="44"/>
      <c r="J7" s="44"/>
      <c r="K7" s="44"/>
    </row>
    <row r="8" spans="1:11" ht="15" x14ac:dyDescent="0.25">
      <c r="A8" s="42"/>
      <c r="B8" s="43"/>
      <c r="C8" s="59">
        <f>mratio_p</f>
        <v>1.234217093018968</v>
      </c>
      <c r="D8" s="44" t="s">
        <v>395</v>
      </c>
      <c r="E8" s="44"/>
      <c r="F8" s="44"/>
      <c r="G8" s="44"/>
      <c r="H8" s="44"/>
      <c r="I8" s="44"/>
      <c r="J8" s="44"/>
      <c r="K8" s="44"/>
    </row>
    <row r="9" spans="1:11" ht="15" x14ac:dyDescent="0.25">
      <c r="A9" s="42"/>
      <c r="B9" s="43"/>
      <c r="C9" s="59">
        <f>rhosw/1000</f>
        <v>1.0249999999999999</v>
      </c>
      <c r="D9" s="44" t="s">
        <v>396</v>
      </c>
      <c r="E9" s="44"/>
      <c r="F9" s="44"/>
      <c r="G9" s="44"/>
      <c r="H9" s="44"/>
      <c r="I9" s="44"/>
      <c r="J9" s="44"/>
      <c r="K9" s="44"/>
    </row>
    <row r="10" spans="1:11" ht="15" x14ac:dyDescent="0.25">
      <c r="A10" s="42"/>
      <c r="B10" s="43"/>
      <c r="C10" s="59" cm="1">
        <f t="array" ref="C10">NMIL</f>
        <v>20</v>
      </c>
      <c r="D10" s="59" cm="1">
        <f t="array" ref="D10">NMIV</f>
        <v>12</v>
      </c>
      <c r="E10" s="59">
        <f>C12-1</f>
        <v>151</v>
      </c>
      <c r="F10" s="44" t="s">
        <v>397</v>
      </c>
      <c r="G10" s="44" t="s">
        <v>398</v>
      </c>
      <c r="H10" s="44"/>
      <c r="I10" s="44"/>
      <c r="J10" s="44"/>
      <c r="K10" s="44"/>
    </row>
    <row r="11" spans="1:11" ht="15" x14ac:dyDescent="0.25">
      <c r="A11" s="42"/>
      <c r="B11" s="43"/>
      <c r="C11" s="44">
        <v>0</v>
      </c>
      <c r="D11" s="44">
        <v>0</v>
      </c>
      <c r="E11" s="44" t="s">
        <v>399</v>
      </c>
      <c r="F11" s="44"/>
      <c r="G11" s="44"/>
      <c r="H11" s="44"/>
      <c r="I11" s="44"/>
      <c r="J11" s="44"/>
      <c r="K11" s="44"/>
    </row>
    <row r="12" spans="1:11" ht="15" x14ac:dyDescent="0.25">
      <c r="A12" s="42"/>
      <c r="B12" s="43"/>
      <c r="C12" s="45">
        <v>152</v>
      </c>
      <c r="D12" s="59">
        <f>Lspan_p</f>
        <v>150</v>
      </c>
      <c r="E12" s="44" t="s">
        <v>399</v>
      </c>
      <c r="F12" s="44"/>
      <c r="G12" s="44"/>
      <c r="H12" s="44"/>
      <c r="I12" s="44"/>
      <c r="J12" s="44"/>
      <c r="K12" s="44"/>
    </row>
    <row r="13" spans="1:11" ht="15" x14ac:dyDescent="0.25">
      <c r="A13" s="42"/>
      <c r="B13" s="43"/>
      <c r="C13" s="44">
        <v>1</v>
      </c>
      <c r="D13" s="44" t="s">
        <v>400</v>
      </c>
      <c r="E13" s="44"/>
      <c r="F13" s="44"/>
      <c r="G13" s="44"/>
      <c r="H13" s="44"/>
      <c r="I13" s="44"/>
      <c r="J13" s="44"/>
      <c r="K13" s="44"/>
    </row>
    <row r="14" spans="1:11" ht="15" x14ac:dyDescent="0.25">
      <c r="A14" s="42"/>
      <c r="B14" s="43"/>
      <c r="C14" s="44">
        <v>0</v>
      </c>
      <c r="D14" s="44" t="s">
        <v>401</v>
      </c>
      <c r="E14" s="44"/>
      <c r="F14" s="44"/>
      <c r="G14" s="44"/>
      <c r="H14" s="44"/>
      <c r="I14" s="44"/>
      <c r="J14" s="44"/>
      <c r="K14" s="44"/>
    </row>
    <row r="15" spans="1:11" ht="15" x14ac:dyDescent="0.25">
      <c r="A15" s="42"/>
      <c r="B15" s="43"/>
      <c r="C15" s="59">
        <f>-Lspan_p</f>
        <v>-150</v>
      </c>
      <c r="D15" s="59">
        <f>N_p</f>
        <v>6.5162450815819595</v>
      </c>
      <c r="E15" s="44" t="s">
        <v>402</v>
      </c>
      <c r="F15" s="44"/>
      <c r="G15" s="44"/>
      <c r="H15" s="44"/>
      <c r="I15" s="44"/>
      <c r="J15" s="44"/>
      <c r="K15" s="44"/>
    </row>
    <row r="16" spans="1:11" s="23" customFormat="1" ht="15" x14ac:dyDescent="0.25">
      <c r="A16" s="42"/>
      <c r="B16" s="43"/>
      <c r="C16" s="59">
        <f>EI_p</f>
        <v>287.82025295475523</v>
      </c>
      <c r="D16" s="59">
        <f>E_p</f>
        <v>207000</v>
      </c>
      <c r="E16" s="59">
        <f>Ds/2</f>
        <v>0.30479999999999996</v>
      </c>
      <c r="F16" s="44" t="s">
        <v>403</v>
      </c>
      <c r="G16" s="44"/>
      <c r="H16" s="44"/>
      <c r="I16" s="44"/>
      <c r="J16" s="44"/>
      <c r="K16" s="44"/>
    </row>
    <row r="17" spans="1:11" s="23" customFormat="1" ht="15" x14ac:dyDescent="0.25">
      <c r="A17" s="42"/>
      <c r="B17" s="43"/>
      <c r="C17" s="59">
        <f>EA_p</f>
        <v>6551.3497719898478</v>
      </c>
      <c r="D17" s="59">
        <f>Lea_p</f>
        <v>2652.2070258074173</v>
      </c>
      <c r="E17" s="45">
        <f>qd_p</f>
        <v>9.3184174255641957E-3</v>
      </c>
      <c r="F17" s="60">
        <f>qw_p</f>
        <v>9.1050115550812371E-4</v>
      </c>
      <c r="G17" s="44" t="s">
        <v>426</v>
      </c>
      <c r="H17" s="44"/>
      <c r="I17" s="44"/>
      <c r="J17" s="44"/>
      <c r="K17" s="59">
        <f>cd</f>
        <v>1.9760140070219807</v>
      </c>
    </row>
    <row r="18" spans="1:11" s="23" customFormat="1" ht="15" x14ac:dyDescent="0.25">
      <c r="A18" s="42"/>
      <c r="B18" s="43"/>
      <c r="C18" s="44">
        <v>3</v>
      </c>
      <c r="D18" s="44" t="s">
        <v>427</v>
      </c>
      <c r="E18" s="44"/>
      <c r="F18" s="44"/>
      <c r="G18" s="44"/>
      <c r="H18" s="44"/>
      <c r="I18" s="44"/>
      <c r="J18" s="44"/>
      <c r="K18" s="44"/>
    </row>
    <row r="19" spans="1:11" s="23" customFormat="1" ht="15" x14ac:dyDescent="0.25">
      <c r="A19" s="42"/>
      <c r="B19" s="43"/>
      <c r="C19" s="44">
        <v>1</v>
      </c>
      <c r="D19" s="45">
        <v>0</v>
      </c>
      <c r="E19" s="44" t="s">
        <v>404</v>
      </c>
      <c r="F19" s="44" t="s">
        <v>405</v>
      </c>
      <c r="G19" s="44"/>
      <c r="H19" s="44"/>
      <c r="I19" s="44"/>
      <c r="J19" s="44"/>
      <c r="K19" s="44"/>
    </row>
    <row r="20" spans="1:11" s="23" customFormat="1" ht="15" x14ac:dyDescent="0.25">
      <c r="A20" s="42"/>
      <c r="B20" s="43"/>
      <c r="C20" s="59">
        <f>NMIL</f>
        <v>20</v>
      </c>
      <c r="D20" s="60">
        <f>$D$19</f>
        <v>0</v>
      </c>
      <c r="E20" s="44" t="s">
        <v>404</v>
      </c>
      <c r="F20" s="44"/>
      <c r="G20" s="44"/>
      <c r="H20" s="44"/>
      <c r="I20" s="44"/>
      <c r="J20" s="44"/>
      <c r="K20" s="44"/>
    </row>
    <row r="21" spans="1:11" s="23" customFormat="1" ht="15" x14ac:dyDescent="0.25">
      <c r="A21" s="42"/>
      <c r="B21" s="43"/>
      <c r="C21" s="44">
        <v>0</v>
      </c>
      <c r="D21" s="44" t="s">
        <v>406</v>
      </c>
      <c r="E21" s="44"/>
      <c r="F21" s="44"/>
      <c r="G21" s="44"/>
      <c r="H21" s="44"/>
      <c r="I21" s="44"/>
      <c r="J21" s="44"/>
      <c r="K21" s="44"/>
    </row>
    <row r="22" spans="1:11" s="23" customFormat="1" ht="15" x14ac:dyDescent="0.25">
      <c r="A22" s="42"/>
      <c r="B22" s="43"/>
      <c r="C22" s="44">
        <v>1</v>
      </c>
      <c r="D22" s="60">
        <f t="shared" ref="D22:D23" si="0">$D$19</f>
        <v>0</v>
      </c>
      <c r="E22" s="44" t="s">
        <v>407</v>
      </c>
      <c r="F22" s="44"/>
      <c r="G22" s="44"/>
      <c r="H22" s="44"/>
      <c r="I22" s="44"/>
      <c r="J22" s="44"/>
      <c r="K22" s="44"/>
    </row>
    <row r="23" spans="1:11" s="23" customFormat="1" ht="15" x14ac:dyDescent="0.25">
      <c r="A23" s="42"/>
      <c r="B23" s="43"/>
      <c r="C23" s="59">
        <f>NMIV</f>
        <v>12</v>
      </c>
      <c r="D23" s="60">
        <f t="shared" si="0"/>
        <v>0</v>
      </c>
      <c r="E23" s="44" t="s">
        <v>407</v>
      </c>
      <c r="F23" s="44"/>
      <c r="G23" s="44"/>
      <c r="H23" s="44"/>
      <c r="I23" s="44"/>
      <c r="J23" s="44"/>
      <c r="K23" s="44"/>
    </row>
    <row r="24" spans="1:11" s="23" customFormat="1" ht="15" x14ac:dyDescent="0.25">
      <c r="A24" s="42"/>
      <c r="B24" s="43"/>
      <c r="C24" s="44">
        <v>0</v>
      </c>
      <c r="D24" s="44" t="s">
        <v>408</v>
      </c>
      <c r="E24" s="44"/>
      <c r="F24" s="44"/>
      <c r="G24" s="44"/>
      <c r="H24" s="44"/>
      <c r="I24" s="44"/>
      <c r="J24" s="44"/>
      <c r="K24" s="44"/>
    </row>
    <row r="25" spans="1:11" s="23" customFormat="1" ht="15" x14ac:dyDescent="0.25">
      <c r="A25" s="42"/>
      <c r="B25" s="43"/>
      <c r="C25" s="59">
        <f>Uc_p/Dc_p</f>
        <v>5.9243968945715544</v>
      </c>
      <c r="D25" s="59">
        <f>C25/2</f>
        <v>2.9621984472857772</v>
      </c>
      <c r="E25" s="44" t="s">
        <v>409</v>
      </c>
      <c r="F25" s="44" t="s">
        <v>410</v>
      </c>
      <c r="G25" s="44"/>
      <c r="H25" s="44"/>
      <c r="I25" s="44"/>
      <c r="J25" s="44"/>
      <c r="K25" s="44"/>
    </row>
    <row r="26" spans="1:11" s="23" customFormat="1" ht="15" x14ac:dyDescent="0.25">
      <c r="A26" s="42"/>
      <c r="B26" s="43"/>
      <c r="C26" s="44">
        <v>2</v>
      </c>
      <c r="D26" s="44" t="s">
        <v>411</v>
      </c>
      <c r="E26" s="44"/>
      <c r="F26" s="44"/>
      <c r="G26" s="44"/>
      <c r="H26" s="44"/>
      <c r="I26" s="44"/>
      <c r="J26" s="44"/>
      <c r="K26" s="44"/>
    </row>
    <row r="27" spans="1:11" s="23" customFormat="1" ht="15" x14ac:dyDescent="0.25">
      <c r="A27" s="42"/>
      <c r="B27" s="43"/>
      <c r="C27" s="44">
        <v>1</v>
      </c>
      <c r="D27" s="59">
        <f>afat^(1/nfat)/10^6</f>
        <v>3822.4067621986587</v>
      </c>
      <c r="E27" s="44" t="s">
        <v>412</v>
      </c>
      <c r="F27" s="44"/>
      <c r="G27" s="44"/>
      <c r="H27" s="44"/>
      <c r="I27" s="44"/>
      <c r="J27" s="44"/>
      <c r="K27" s="44"/>
    </row>
    <row r="28" spans="1:11" s="23" customFormat="1" ht="15" x14ac:dyDescent="0.25">
      <c r="A28" s="42"/>
      <c r="B28" s="43"/>
      <c r="C28" s="59">
        <f>C27*10^nfat</f>
        <v>5495.4087385762541</v>
      </c>
      <c r="D28" s="59">
        <f>D27/10</f>
        <v>382.24067621986586</v>
      </c>
      <c r="E28" s="44" t="s">
        <v>412</v>
      </c>
      <c r="F28" s="44"/>
      <c r="G28" s="44"/>
      <c r="H28" s="44"/>
      <c r="I28" s="44"/>
      <c r="J28" s="44"/>
      <c r="K28" s="44"/>
    </row>
    <row r="29" spans="1:11" s="23" customFormat="1" ht="15" x14ac:dyDescent="0.25">
      <c r="A29" s="42"/>
      <c r="B29" s="43"/>
      <c r="C29" s="44">
        <v>1</v>
      </c>
      <c r="D29" s="44">
        <v>25</v>
      </c>
      <c r="E29" s="44">
        <v>1</v>
      </c>
      <c r="F29" s="44" t="s">
        <v>413</v>
      </c>
      <c r="G29" s="44"/>
      <c r="H29" s="44"/>
      <c r="I29" s="44"/>
      <c r="J29" s="44"/>
      <c r="K29" s="44"/>
    </row>
    <row r="30" spans="1:11" s="23" customFormat="1" ht="15" x14ac:dyDescent="0.25">
      <c r="A30" s="42"/>
      <c r="B30" s="43"/>
      <c r="C30" s="44">
        <v>1</v>
      </c>
      <c r="D30" s="44" t="s">
        <v>414</v>
      </c>
      <c r="E30" s="44"/>
      <c r="F30" s="44"/>
      <c r="G30" s="44"/>
      <c r="H30" s="44"/>
      <c r="I30" s="44"/>
      <c r="J30" s="44"/>
      <c r="K30" s="44"/>
    </row>
    <row r="31" spans="1:11" s="23" customFormat="1" ht="15" x14ac:dyDescent="0.25">
      <c r="A31" s="42"/>
      <c r="B31" s="43"/>
      <c r="C31" s="44">
        <v>0</v>
      </c>
      <c r="D31" s="44">
        <v>-1</v>
      </c>
      <c r="E31" s="44" t="s">
        <v>415</v>
      </c>
      <c r="F31" s="44"/>
      <c r="G31" s="44"/>
      <c r="H31" s="44"/>
      <c r="I31" s="44"/>
      <c r="J31" s="44"/>
      <c r="K31" s="44"/>
    </row>
    <row r="32" spans="1:11" s="23" customFormat="1" ht="15" x14ac:dyDescent="0.25">
      <c r="A32" s="42"/>
      <c r="B32" s="43"/>
      <c r="C32" s="44">
        <v>1</v>
      </c>
      <c r="D32" s="44">
        <v>1</v>
      </c>
      <c r="E32" s="44" t="s">
        <v>416</v>
      </c>
      <c r="F32" s="44"/>
      <c r="G32" s="44"/>
      <c r="H32" s="44"/>
      <c r="I32" s="44"/>
      <c r="J32" s="44"/>
      <c r="K32" s="44"/>
    </row>
    <row r="33" spans="1:11" s="23" customFormat="1" ht="15" x14ac:dyDescent="0.25">
      <c r="A33" s="42"/>
      <c r="B33" s="43"/>
      <c r="C33" s="44">
        <v>1</v>
      </c>
      <c r="D33" s="44">
        <v>1</v>
      </c>
      <c r="E33" s="44" t="s">
        <v>417</v>
      </c>
      <c r="F33" s="44"/>
      <c r="G33" s="44"/>
      <c r="H33" s="44"/>
      <c r="I33" s="44"/>
      <c r="J33" s="44"/>
      <c r="K33" s="44"/>
    </row>
    <row r="34" spans="1:11" s="23" customFormat="1" ht="15" x14ac:dyDescent="0.25">
      <c r="A34" s="42"/>
      <c r="B34" s="43"/>
      <c r="C34" s="44">
        <v>0.1</v>
      </c>
      <c r="D34" s="44" t="s">
        <v>418</v>
      </c>
      <c r="E34" s="44"/>
      <c r="F34" s="44"/>
      <c r="G34" s="44"/>
      <c r="H34" s="44"/>
      <c r="I34" s="44"/>
      <c r="J34" s="44"/>
      <c r="K34" s="44"/>
    </row>
    <row r="35" spans="1:11" s="23" customFormat="1" ht="15" x14ac:dyDescent="0.25">
      <c r="A35" s="42"/>
      <c r="B35" s="43"/>
      <c r="C35" s="59">
        <f>Uc_p</f>
        <v>4.1565568612314019</v>
      </c>
      <c r="D35" s="44">
        <v>0</v>
      </c>
      <c r="E35" s="44" t="s">
        <v>419</v>
      </c>
      <c r="F35" s="44"/>
      <c r="G35" s="44"/>
      <c r="H35" s="44"/>
      <c r="I35" s="44"/>
      <c r="J35" s="44"/>
      <c r="K35" s="44"/>
    </row>
    <row r="36" spans="1:11" s="23" customFormat="1" ht="15" x14ac:dyDescent="0.25">
      <c r="A36" s="42"/>
      <c r="B36" s="43"/>
      <c r="C36" s="44">
        <v>1</v>
      </c>
      <c r="D36" s="44" t="s">
        <v>420</v>
      </c>
      <c r="E36" s="44"/>
      <c r="F36" s="44"/>
      <c r="G36" s="44"/>
      <c r="H36" s="44"/>
      <c r="I36" s="44"/>
      <c r="J36" s="44"/>
      <c r="K36" s="44"/>
    </row>
    <row r="37" spans="1:11" s="23" customFormat="1" ht="15" x14ac:dyDescent="0.25">
      <c r="A37" s="42"/>
      <c r="B37" s="43"/>
      <c r="C37" s="45">
        <v>0</v>
      </c>
      <c r="D37" s="44" t="s">
        <v>421</v>
      </c>
      <c r="E37" s="44"/>
      <c r="F37" s="44"/>
      <c r="G37" s="44"/>
      <c r="H37" s="44"/>
      <c r="I37" s="44"/>
      <c r="J37" s="44"/>
      <c r="K37" s="44"/>
    </row>
    <row r="38" spans="1:11" s="23" customFormat="1" ht="15" x14ac:dyDescent="0.25">
      <c r="A38" s="42"/>
      <c r="B38" s="43"/>
      <c r="C38" s="44">
        <v>0</v>
      </c>
      <c r="D38" s="44" t="s">
        <v>422</v>
      </c>
      <c r="E38" s="44"/>
      <c r="F38" s="44"/>
      <c r="G38" s="44"/>
      <c r="H38" s="44"/>
      <c r="I38" s="44"/>
      <c r="J38" s="44"/>
      <c r="K38" s="44"/>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2272B-4CD0-40FF-AB61-4C2A37D95DEE}">
  <sheetPr codeName="Sheet14"/>
  <dimension ref="A1:DT142"/>
  <sheetViews>
    <sheetView topLeftCell="A20" workbookViewId="0">
      <selection activeCell="D20" sqref="D20"/>
    </sheetView>
  </sheetViews>
  <sheetFormatPr defaultRowHeight="15" x14ac:dyDescent="0.2"/>
  <cols>
    <col min="1" max="1" width="1.7109375" style="24" customWidth="1"/>
    <col min="2" max="2" width="1.7109375" style="25" customWidth="1"/>
  </cols>
  <sheetData>
    <row r="1" spans="1:5" x14ac:dyDescent="0.2">
      <c r="A1" s="24" t="s">
        <v>681</v>
      </c>
    </row>
    <row r="2" spans="1:5" x14ac:dyDescent="0.2">
      <c r="B2" s="25" t="s">
        <v>632</v>
      </c>
    </row>
    <row r="3" spans="1:5" x14ac:dyDescent="0.2">
      <c r="D3">
        <f>STDEV(m!AF167:EL167)</f>
        <v>0.31752960437683891</v>
      </c>
      <c r="E3" s="5" t="s">
        <v>596</v>
      </c>
    </row>
    <row r="4" spans="1:5" x14ac:dyDescent="0.2">
      <c r="D4">
        <f>EXP(AVERAGE(m!AF167:EL167))</f>
        <v>7.6630490401298035</v>
      </c>
      <c r="E4" s="5" t="s">
        <v>600</v>
      </c>
    </row>
    <row r="5" spans="1:5" x14ac:dyDescent="0.2">
      <c r="B5" s="25" t="s">
        <v>633</v>
      </c>
      <c r="E5" s="5"/>
    </row>
    <row r="6" spans="1:5" x14ac:dyDescent="0.2">
      <c r="D6">
        <f>STDEV(m!AF168:EL168)</f>
        <v>0.35206089589985023</v>
      </c>
      <c r="E6" s="5" t="s">
        <v>599</v>
      </c>
    </row>
    <row r="7" spans="1:5" x14ac:dyDescent="0.2">
      <c r="D7">
        <f>EXP(AVERAGE(m!AF168:EL168))</f>
        <v>6.5948175971817218</v>
      </c>
      <c r="E7" s="5" t="s">
        <v>601</v>
      </c>
    </row>
    <row r="8" spans="1:5" x14ac:dyDescent="0.2">
      <c r="E8" s="5"/>
    </row>
    <row r="9" spans="1:5" x14ac:dyDescent="0.2">
      <c r="A9" s="24" t="s">
        <v>682</v>
      </c>
      <c r="E9" s="5"/>
    </row>
    <row r="10" spans="1:5" x14ac:dyDescent="0.2">
      <c r="A10" s="66"/>
      <c r="B10" s="25" t="s">
        <v>587</v>
      </c>
    </row>
    <row r="11" spans="1:5" x14ac:dyDescent="0.2">
      <c r="C11" s="5" t="s">
        <v>584</v>
      </c>
      <c r="D11">
        <v>3.31235058547303</v>
      </c>
      <c r="E11" s="5" t="s">
        <v>736</v>
      </c>
    </row>
    <row r="12" spans="1:5" x14ac:dyDescent="0.2">
      <c r="C12" s="5" t="s">
        <v>585</v>
      </c>
      <c r="D12">
        <v>0.1553906410541698</v>
      </c>
      <c r="E12" s="5" t="s">
        <v>737</v>
      </c>
    </row>
    <row r="13" spans="1:5" x14ac:dyDescent="0.2">
      <c r="C13" s="5" t="s">
        <v>586</v>
      </c>
      <c r="D13">
        <v>0.20310744898569263</v>
      </c>
      <c r="E13" s="5" t="s">
        <v>738</v>
      </c>
    </row>
    <row r="14" spans="1:5" x14ac:dyDescent="0.2">
      <c r="D14">
        <f>COUNT(m!AF163:EL163)</f>
        <v>73</v>
      </c>
      <c r="E14" s="5" t="s">
        <v>592</v>
      </c>
    </row>
    <row r="15" spans="1:5" x14ac:dyDescent="0.2">
      <c r="D15">
        <f>SUMSQ(m!AF163:EL163)</f>
        <v>2.6155408906817463</v>
      </c>
      <c r="E15" s="5" t="s">
        <v>593</v>
      </c>
    </row>
    <row r="16" spans="1:5" x14ac:dyDescent="0.2">
      <c r="D16">
        <f>SQRT(D15/(D14-1))</f>
        <v>0.19059631899652274</v>
      </c>
      <c r="E16" s="5" t="s">
        <v>594</v>
      </c>
    </row>
    <row r="19" spans="1:5" x14ac:dyDescent="0.2">
      <c r="A19" s="66"/>
      <c r="B19" s="25" t="s">
        <v>591</v>
      </c>
    </row>
    <row r="20" spans="1:5" x14ac:dyDescent="0.2">
      <c r="C20" s="5" t="s">
        <v>588</v>
      </c>
      <c r="D20">
        <v>2.3191206690554163</v>
      </c>
      <c r="E20" s="5" t="s">
        <v>739</v>
      </c>
    </row>
    <row r="21" spans="1:5" x14ac:dyDescent="0.2">
      <c r="C21" s="5" t="s">
        <v>589</v>
      </c>
      <c r="D21">
        <v>0.21641121068176647</v>
      </c>
      <c r="E21" s="5" t="s">
        <v>740</v>
      </c>
    </row>
    <row r="22" spans="1:5" x14ac:dyDescent="0.2">
      <c r="C22" s="5" t="s">
        <v>590</v>
      </c>
      <c r="D22">
        <v>0.23294808140107889</v>
      </c>
      <c r="E22" s="5" t="s">
        <v>741</v>
      </c>
    </row>
    <row r="23" spans="1:5" x14ac:dyDescent="0.2">
      <c r="D23">
        <f>COUNT(m!AF164:EL164)</f>
        <v>73</v>
      </c>
      <c r="E23" s="5" t="s">
        <v>595</v>
      </c>
    </row>
    <row r="24" spans="1:5" x14ac:dyDescent="0.2">
      <c r="D24">
        <f>SUMSQ(m!AF164:EL164)</f>
        <v>2.1973495489041905</v>
      </c>
      <c r="E24" s="5" t="s">
        <v>593</v>
      </c>
    </row>
    <row r="25" spans="1:5" x14ac:dyDescent="0.2">
      <c r="D25">
        <f>SQRT(D24/(D23-1))</f>
        <v>0.17469614688017715</v>
      </c>
      <c r="E25" s="5" t="s">
        <v>594</v>
      </c>
    </row>
    <row r="27" spans="1:5" x14ac:dyDescent="0.2">
      <c r="A27" s="24" t="s">
        <v>683</v>
      </c>
    </row>
    <row r="28" spans="1:5" x14ac:dyDescent="0.2">
      <c r="B28" s="25" t="s">
        <v>742</v>
      </c>
    </row>
    <row r="29" spans="1:5" x14ac:dyDescent="0.2">
      <c r="C29" s="5" t="s">
        <v>602</v>
      </c>
      <c r="D29">
        <v>5.2249133810411985</v>
      </c>
      <c r="E29" s="5" t="s">
        <v>744</v>
      </c>
    </row>
    <row r="30" spans="1:5" x14ac:dyDescent="0.2">
      <c r="C30" s="5" t="s">
        <v>603</v>
      </c>
      <c r="D30">
        <v>0.1553906410541698</v>
      </c>
      <c r="E30" s="5" t="s">
        <v>745</v>
      </c>
    </row>
    <row r="31" spans="1:5" x14ac:dyDescent="0.2">
      <c r="D31">
        <f>SUMSQ(m!AF169:EL169)</f>
        <v>3.9529727616542796</v>
      </c>
      <c r="E31" s="5" t="s">
        <v>593</v>
      </c>
    </row>
    <row r="32" spans="1:5" x14ac:dyDescent="0.2">
      <c r="D32">
        <f>SQRT(D31/(D14-1))</f>
        <v>0.23431261055995375</v>
      </c>
      <c r="E32" s="5" t="s">
        <v>594</v>
      </c>
    </row>
    <row r="33" spans="1:124" x14ac:dyDescent="0.2">
      <c r="B33" s="25" t="s">
        <v>743</v>
      </c>
      <c r="E33" s="5"/>
    </row>
    <row r="34" spans="1:124" x14ac:dyDescent="0.2">
      <c r="C34" s="5" t="s">
        <v>604</v>
      </c>
      <c r="D34">
        <v>3.8687160860999756</v>
      </c>
      <c r="E34" s="5" t="s">
        <v>746</v>
      </c>
    </row>
    <row r="35" spans="1:124" x14ac:dyDescent="0.2">
      <c r="C35" s="5" t="s">
        <v>605</v>
      </c>
      <c r="D35">
        <v>0.21641121068176647</v>
      </c>
      <c r="E35" s="5" t="s">
        <v>747</v>
      </c>
    </row>
    <row r="36" spans="1:124" x14ac:dyDescent="0.2">
      <c r="D36">
        <f>SUMSQ(m!AF170:EL170)</f>
        <v>4.5934583253952193</v>
      </c>
      <c r="E36" s="5" t="s">
        <v>593</v>
      </c>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row>
    <row r="37" spans="1:124" x14ac:dyDescent="0.2">
      <c r="D37">
        <f>SQRT(D36/(D23-1))</f>
        <v>0.25258272367118823</v>
      </c>
      <c r="E37" s="5" t="s">
        <v>594</v>
      </c>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row>
    <row r="39" spans="1:124" x14ac:dyDescent="0.2">
      <c r="F39" s="5" t="s">
        <v>609</v>
      </c>
    </row>
    <row r="40" spans="1:124" x14ac:dyDescent="0.2">
      <c r="F40" s="11" t="s">
        <v>608</v>
      </c>
      <c r="G40" s="10">
        <v>0.5</v>
      </c>
      <c r="H40">
        <f t="shared" ref="H40:AM40" si="0">G40*1.15</f>
        <v>0.57499999999999996</v>
      </c>
      <c r="I40">
        <f t="shared" si="0"/>
        <v>0.66124999999999989</v>
      </c>
      <c r="J40">
        <f t="shared" si="0"/>
        <v>0.76043749999999977</v>
      </c>
      <c r="K40">
        <f t="shared" si="0"/>
        <v>0.87450312499999971</v>
      </c>
      <c r="L40">
        <f t="shared" si="0"/>
        <v>1.0056785937499997</v>
      </c>
      <c r="M40">
        <f t="shared" si="0"/>
        <v>1.1565303828124995</v>
      </c>
      <c r="N40">
        <f t="shared" si="0"/>
        <v>1.3300099402343744</v>
      </c>
      <c r="O40">
        <f t="shared" si="0"/>
        <v>1.5295114312695304</v>
      </c>
      <c r="P40">
        <f t="shared" si="0"/>
        <v>1.7589381459599598</v>
      </c>
      <c r="Q40">
        <f t="shared" si="0"/>
        <v>2.0227788678539538</v>
      </c>
      <c r="R40">
        <f t="shared" si="0"/>
        <v>2.3261956980320466</v>
      </c>
      <c r="S40">
        <f t="shared" si="0"/>
        <v>2.6751250527368535</v>
      </c>
      <c r="T40">
        <f t="shared" si="0"/>
        <v>3.0763938106473812</v>
      </c>
      <c r="U40">
        <f t="shared" si="0"/>
        <v>3.5378528822444881</v>
      </c>
      <c r="V40">
        <f t="shared" si="0"/>
        <v>4.0685308145811607</v>
      </c>
      <c r="W40">
        <f t="shared" si="0"/>
        <v>4.6788104367683347</v>
      </c>
      <c r="X40">
        <f t="shared" si="0"/>
        <v>5.3806320022835843</v>
      </c>
      <c r="Y40">
        <f t="shared" si="0"/>
        <v>6.1877268026261216</v>
      </c>
      <c r="Z40">
        <f t="shared" si="0"/>
        <v>7.1158858230200392</v>
      </c>
      <c r="AA40">
        <f t="shared" si="0"/>
        <v>8.1832686964730446</v>
      </c>
      <c r="AB40">
        <f t="shared" si="0"/>
        <v>9.410759000944001</v>
      </c>
      <c r="AC40">
        <f t="shared" si="0"/>
        <v>10.8223728510856</v>
      </c>
      <c r="AD40">
        <f t="shared" si="0"/>
        <v>12.445728778748439</v>
      </c>
      <c r="AE40">
        <f t="shared" si="0"/>
        <v>14.312588095560704</v>
      </c>
      <c r="AF40">
        <f t="shared" si="0"/>
        <v>16.459476309894807</v>
      </c>
      <c r="AG40">
        <f t="shared" si="0"/>
        <v>18.928397756379027</v>
      </c>
      <c r="AH40">
        <f t="shared" si="0"/>
        <v>21.767657419835881</v>
      </c>
      <c r="AI40">
        <f t="shared" si="0"/>
        <v>25.032806032811262</v>
      </c>
      <c r="AJ40">
        <f t="shared" si="0"/>
        <v>28.787726937732948</v>
      </c>
      <c r="AK40">
        <f t="shared" si="0"/>
        <v>33.105885978392891</v>
      </c>
      <c r="AL40">
        <f t="shared" si="0"/>
        <v>38.071768875151818</v>
      </c>
      <c r="AM40">
        <f t="shared" si="0"/>
        <v>43.782534206424586</v>
      </c>
      <c r="AN40">
        <f t="shared" ref="AN40:BI40" si="1">AM40*1.15</f>
        <v>50.34991433738827</v>
      </c>
      <c r="AO40">
        <f t="shared" si="1"/>
        <v>57.902401487996507</v>
      </c>
      <c r="AP40">
        <f t="shared" si="1"/>
        <v>66.587761711195981</v>
      </c>
      <c r="AQ40">
        <f t="shared" si="1"/>
        <v>76.575925967875378</v>
      </c>
      <c r="AR40">
        <f t="shared" si="1"/>
        <v>88.062314863056685</v>
      </c>
      <c r="AS40">
        <f t="shared" si="1"/>
        <v>101.27166209251519</v>
      </c>
      <c r="AT40">
        <f t="shared" si="1"/>
        <v>116.46241140639245</v>
      </c>
      <c r="AU40">
        <f t="shared" si="1"/>
        <v>133.9317731173513</v>
      </c>
      <c r="AV40">
        <f t="shared" si="1"/>
        <v>154.02153908495399</v>
      </c>
      <c r="AW40">
        <f t="shared" si="1"/>
        <v>177.12476994769708</v>
      </c>
      <c r="AX40">
        <f t="shared" si="1"/>
        <v>203.69348543985163</v>
      </c>
      <c r="AY40">
        <f t="shared" si="1"/>
        <v>234.24750825582936</v>
      </c>
      <c r="AZ40">
        <f t="shared" si="1"/>
        <v>269.38463449420374</v>
      </c>
      <c r="BA40">
        <f t="shared" si="1"/>
        <v>309.79232966833428</v>
      </c>
      <c r="BB40">
        <f t="shared" si="1"/>
        <v>356.26117911858438</v>
      </c>
      <c r="BC40">
        <f t="shared" si="1"/>
        <v>409.70035598637202</v>
      </c>
      <c r="BD40">
        <f t="shared" si="1"/>
        <v>471.15540938432781</v>
      </c>
      <c r="BE40">
        <f t="shared" si="1"/>
        <v>541.82872079197693</v>
      </c>
      <c r="BF40">
        <f t="shared" si="1"/>
        <v>623.10302891077345</v>
      </c>
      <c r="BG40">
        <f t="shared" si="1"/>
        <v>716.56848324738939</v>
      </c>
      <c r="BH40">
        <f t="shared" si="1"/>
        <v>824.05375573449771</v>
      </c>
      <c r="BI40">
        <f t="shared" si="1"/>
        <v>947.6618190946723</v>
      </c>
    </row>
    <row r="41" spans="1:124" ht="16.5" x14ac:dyDescent="0.25">
      <c r="C41" s="11" t="s">
        <v>612</v>
      </c>
      <c r="F41" s="11" t="s">
        <v>610</v>
      </c>
      <c r="G41" s="10">
        <f t="shared" ref="G41:AL41" si="2">a_1CF*G40^a_2CF</f>
        <v>4.6913933842572053</v>
      </c>
      <c r="H41" s="10">
        <f t="shared" si="2"/>
        <v>4.7943940686069935</v>
      </c>
      <c r="I41" s="10">
        <f t="shared" si="2"/>
        <v>4.8996561580677094</v>
      </c>
      <c r="J41" s="10">
        <f t="shared" si="2"/>
        <v>5.0072293023393302</v>
      </c>
      <c r="K41" s="10">
        <f t="shared" si="2"/>
        <v>5.1171642411930938</v>
      </c>
      <c r="L41" s="10">
        <f t="shared" si="2"/>
        <v>5.2295128284042702</v>
      </c>
      <c r="M41" s="10">
        <f t="shared" si="2"/>
        <v>5.3443280562103954</v>
      </c>
      <c r="N41" s="10">
        <f t="shared" si="2"/>
        <v>5.4616640803064866</v>
      </c>
      <c r="O41" s="10">
        <f t="shared" si="2"/>
        <v>5.5815762453890354</v>
      </c>
      <c r="P41" s="10">
        <f t="shared" si="2"/>
        <v>5.7041211112608234</v>
      </c>
      <c r="Q41" s="10">
        <f t="shared" si="2"/>
        <v>5.8293564795088795</v>
      </c>
      <c r="R41" s="10">
        <f t="shared" si="2"/>
        <v>5.9573414207681505</v>
      </c>
      <c r="S41" s="10">
        <f t="shared" si="2"/>
        <v>6.088136302583762</v>
      </c>
      <c r="T41" s="10">
        <f t="shared" si="2"/>
        <v>6.2218028178849938</v>
      </c>
      <c r="U41" s="10">
        <f t="shared" si="2"/>
        <v>6.3584040140844191</v>
      </c>
      <c r="V41" s="10">
        <f t="shared" si="2"/>
        <v>6.498004322815901</v>
      </c>
      <c r="W41" s="10">
        <f t="shared" si="2"/>
        <v>6.6406695903255226</v>
      </c>
      <c r="X41" s="10">
        <f t="shared" si="2"/>
        <v>6.7864671085297346</v>
      </c>
      <c r="Y41" s="10">
        <f t="shared" si="2"/>
        <v>6.9354656467554028</v>
      </c>
      <c r="Z41" s="10">
        <f t="shared" si="2"/>
        <v>7.0877354841767133</v>
      </c>
      <c r="AA41" s="10">
        <f t="shared" si="2"/>
        <v>7.2433484429642379</v>
      </c>
      <c r="AB41" s="10">
        <f t="shared" si="2"/>
        <v>7.4023779221617962</v>
      </c>
      <c r="AC41" s="10">
        <f t="shared" si="2"/>
        <v>7.5648989323070897</v>
      </c>
      <c r="AD41" s="10">
        <f t="shared" si="2"/>
        <v>7.730988130812448</v>
      </c>
      <c r="AE41" s="10">
        <f t="shared" si="2"/>
        <v>7.9007238581223547</v>
      </c>
      <c r="AF41" s="10">
        <f t="shared" si="2"/>
        <v>8.0741861746648311</v>
      </c>
      <c r="AG41" s="10">
        <f t="shared" si="2"/>
        <v>8.2514568986140997</v>
      </c>
      <c r="AH41" s="10">
        <f t="shared" si="2"/>
        <v>8.4326196444823189</v>
      </c>
      <c r="AI41" s="10">
        <f t="shared" si="2"/>
        <v>8.617759862558632</v>
      </c>
      <c r="AJ41" s="10">
        <f t="shared" si="2"/>
        <v>8.8069648792140871</v>
      </c>
      <c r="AK41" s="10">
        <f t="shared" si="2"/>
        <v>9.0003239380914817</v>
      </c>
      <c r="AL41" s="10">
        <f t="shared" si="2"/>
        <v>9.1979282421995219</v>
      </c>
      <c r="AM41" s="10">
        <f t="shared" ref="AM41:BI41" si="3">a_1CF*AM40^a_2CF</f>
        <v>9.3998709969311847</v>
      </c>
      <c r="AN41" s="10">
        <f t="shared" si="3"/>
        <v>9.6062474540265512</v>
      </c>
      <c r="AO41" s="10">
        <f t="shared" si="3"/>
        <v>9.817154956500854</v>
      </c>
      <c r="AP41" s="10">
        <f t="shared" si="3"/>
        <v>10.032692984558931</v>
      </c>
      <c r="AQ41" s="10">
        <f t="shared" si="3"/>
        <v>10.25296320251775</v>
      </c>
      <c r="AR41" s="10">
        <f t="shared" si="3"/>
        <v>10.478069506759114</v>
      </c>
      <c r="AS41" s="10">
        <f t="shared" si="3"/>
        <v>10.708118074735198</v>
      </c>
      <c r="AT41" s="10">
        <f t="shared" si="3"/>
        <v>10.943217415049993</v>
      </c>
      <c r="AU41" s="10">
        <f t="shared" si="3"/>
        <v>11.183478418640325</v>
      </c>
      <c r="AV41" s="10">
        <f t="shared" si="3"/>
        <v>11.429014411080539</v>
      </c>
      <c r="AW41" s="10">
        <f t="shared" si="3"/>
        <v>11.679941206035569</v>
      </c>
      <c r="AX41" s="10">
        <f t="shared" si="3"/>
        <v>11.93637715988757</v>
      </c>
      <c r="AY41" s="10">
        <f t="shared" si="3"/>
        <v>12.19844322756189</v>
      </c>
      <c r="AZ41" s="10">
        <f t="shared" si="3"/>
        <v>12.466263019578726</v>
      </c>
      <c r="BA41" s="10">
        <f t="shared" si="3"/>
        <v>12.739962860357345</v>
      </c>
      <c r="BB41" s="10">
        <f t="shared" si="3"/>
        <v>13.019671847800415</v>
      </c>
      <c r="BC41" s="10">
        <f t="shared" si="3"/>
        <v>13.305521914186492</v>
      </c>
      <c r="BD41" s="10">
        <f t="shared" si="3"/>
        <v>13.59764788839944</v>
      </c>
      <c r="BE41" s="10">
        <f t="shared" si="3"/>
        <v>13.896187559524112</v>
      </c>
      <c r="BF41" s="10">
        <f t="shared" si="3"/>
        <v>14.201281741838272</v>
      </c>
      <c r="BG41" s="10">
        <f t="shared" si="3"/>
        <v>14.513074341231446</v>
      </c>
      <c r="BH41" s="10">
        <f t="shared" si="3"/>
        <v>14.831712423082021</v>
      </c>
      <c r="BI41" s="10">
        <f t="shared" si="3"/>
        <v>15.15734628162458</v>
      </c>
    </row>
    <row r="42" spans="1:124" ht="16.5" x14ac:dyDescent="0.25">
      <c r="C42" s="11" t="s">
        <v>613</v>
      </c>
      <c r="F42" s="11" t="s">
        <v>611</v>
      </c>
      <c r="G42" s="10">
        <f t="shared" ref="G42:AL42" si="4">a_1IL*G40^a_2IL</f>
        <v>3.3298187423148984</v>
      </c>
      <c r="H42" s="10">
        <f t="shared" si="4"/>
        <v>3.4320711814633804</v>
      </c>
      <c r="I42" s="10">
        <f t="shared" si="4"/>
        <v>3.537463599728127</v>
      </c>
      <c r="J42" s="10">
        <f t="shared" si="4"/>
        <v>3.646092419932228</v>
      </c>
      <c r="K42" s="10">
        <f t="shared" si="4"/>
        <v>3.7580570258614014</v>
      </c>
      <c r="L42" s="10">
        <f t="shared" si="4"/>
        <v>3.8734598531895563</v>
      </c>
      <c r="M42" s="10">
        <f t="shared" si="4"/>
        <v>3.9924064831965107</v>
      </c>
      <c r="N42" s="10">
        <f t="shared" si="4"/>
        <v>4.1150057393636059</v>
      </c>
      <c r="O42" s="10">
        <f t="shared" si="4"/>
        <v>4.2413697869355804</v>
      </c>
      <c r="P42" s="10">
        <f t="shared" si="4"/>
        <v>4.3716142355398127</v>
      </c>
      <c r="Q42" s="10">
        <f t="shared" si="4"/>
        <v>4.505858244956797</v>
      </c>
      <c r="R42" s="10">
        <f t="shared" si="4"/>
        <v>4.644224634138638</v>
      </c>
      <c r="S42" s="10">
        <f t="shared" si="4"/>
        <v>4.786839993575291</v>
      </c>
      <c r="T42" s="10">
        <f t="shared" si="4"/>
        <v>4.9338348011113613</v>
      </c>
      <c r="U42" s="10">
        <f t="shared" si="4"/>
        <v>5.0853435413194168</v>
      </c>
      <c r="V42" s="10">
        <f t="shared" si="4"/>
        <v>5.2415048285390311</v>
      </c>
      <c r="W42" s="10">
        <f t="shared" si="4"/>
        <v>5.4024615336941189</v>
      </c>
      <c r="X42" s="10">
        <f t="shared" si="4"/>
        <v>5.5683609150045967</v>
      </c>
      <c r="Y42" s="10">
        <f t="shared" si="4"/>
        <v>5.7393547527119493</v>
      </c>
      <c r="Z42" s="10">
        <f t="shared" si="4"/>
        <v>5.9155994879419644</v>
      </c>
      <c r="AA42" s="10">
        <f t="shared" si="4"/>
        <v>6.0972563658316776</v>
      </c>
      <c r="AB42" s="10">
        <f t="shared" si="4"/>
        <v>6.28449158305148</v>
      </c>
      <c r="AC42" s="10">
        <f t="shared" si="4"/>
        <v>6.4774764398573428</v>
      </c>
      <c r="AD42" s="10">
        <f t="shared" si="4"/>
        <v>6.6763874968122883</v>
      </c>
      <c r="AE42" s="10">
        <f t="shared" si="4"/>
        <v>6.8814067363204687</v>
      </c>
      <c r="AF42" s="10">
        <f t="shared" si="4"/>
        <v>7.0927217291216662</v>
      </c>
      <c r="AG42" s="10">
        <f t="shared" si="4"/>
        <v>7.3105258058985108</v>
      </c>
      <c r="AH42" s="10">
        <f t="shared" si="4"/>
        <v>7.5350182341534397</v>
      </c>
      <c r="AI42" s="10">
        <f t="shared" si="4"/>
        <v>7.766404400517211</v>
      </c>
      <c r="AJ42" s="10">
        <f t="shared" si="4"/>
        <v>8.0048959986557655</v>
      </c>
      <c r="AK42" s="10">
        <f t="shared" si="4"/>
        <v>8.2507112229473574</v>
      </c>
      <c r="AL42" s="10">
        <f t="shared" si="4"/>
        <v>8.5040749681071333</v>
      </c>
      <c r="AM42" s="10">
        <f t="shared" ref="AM42:BI42" si="5">a_1IL*AM40^a_2IL</f>
        <v>8.7652190349418291</v>
      </c>
      <c r="AN42" s="10">
        <f t="shared" si="5"/>
        <v>9.0343823424227718</v>
      </c>
      <c r="AO42" s="10">
        <f t="shared" si="5"/>
        <v>9.3118111462712623</v>
      </c>
      <c r="AP42" s="10">
        <f t="shared" si="5"/>
        <v>9.5977592642563039</v>
      </c>
      <c r="AQ42" s="10">
        <f t="shared" si="5"/>
        <v>9.8924883084107851</v>
      </c>
      <c r="AR42" s="10">
        <f t="shared" si="5"/>
        <v>10.196267924378599</v>
      </c>
      <c r="AS42" s="10">
        <f t="shared" si="5"/>
        <v>10.509376038111638</v>
      </c>
      <c r="AT42" s="10">
        <f t="shared" si="5"/>
        <v>10.832099110142417</v>
      </c>
      <c r="AU42" s="10">
        <f t="shared" si="5"/>
        <v>11.164732397664892</v>
      </c>
      <c r="AV42" s="10">
        <f t="shared" si="5"/>
        <v>11.507580224663329</v>
      </c>
      <c r="AW42" s="10">
        <f t="shared" si="5"/>
        <v>11.860956260336259</v>
      </c>
      <c r="AX42" s="10">
        <f t="shared" si="5"/>
        <v>12.225183806070385</v>
      </c>
      <c r="AY42" s="10">
        <f t="shared" si="5"/>
        <v>12.600596091226837</v>
      </c>
      <c r="AZ42" s="10">
        <f t="shared" si="5"/>
        <v>12.987536578010525</v>
      </c>
      <c r="BA42" s="10">
        <f t="shared" si="5"/>
        <v>13.386359275701412</v>
      </c>
      <c r="BB42" s="10">
        <f t="shared" si="5"/>
        <v>13.79742906453526</v>
      </c>
      <c r="BC42" s="10">
        <f t="shared" si="5"/>
        <v>14.221122029530134</v>
      </c>
      <c r="BD42" s="10">
        <f t="shared" si="5"/>
        <v>14.657825804564071</v>
      </c>
      <c r="BE42" s="10">
        <f t="shared" si="5"/>
        <v>15.107939927018755</v>
      </c>
      <c r="BF42" s="10">
        <f t="shared" si="5"/>
        <v>15.571876203313618</v>
      </c>
      <c r="BG42" s="10">
        <f t="shared" si="5"/>
        <v>16.05005908566477</v>
      </c>
      <c r="BH42" s="10">
        <f t="shared" si="5"/>
        <v>16.542926060413535</v>
      </c>
      <c r="BI42" s="10">
        <f t="shared" si="5"/>
        <v>17.050928048279786</v>
      </c>
    </row>
    <row r="44" spans="1:124" x14ac:dyDescent="0.2">
      <c r="A44" s="24" t="s">
        <v>620</v>
      </c>
    </row>
    <row r="45" spans="1:124" x14ac:dyDescent="0.2">
      <c r="B45" s="25" t="s">
        <v>614</v>
      </c>
    </row>
    <row r="46" spans="1:124" x14ac:dyDescent="0.2">
      <c r="C46" s="5" t="s">
        <v>615</v>
      </c>
      <c r="D46" s="10">
        <v>2.8835975965432659</v>
      </c>
      <c r="E46" s="5" t="s">
        <v>748</v>
      </c>
    </row>
    <row r="47" spans="1:124" x14ac:dyDescent="0.2">
      <c r="C47" s="5" t="s">
        <v>616</v>
      </c>
      <c r="D47" s="10">
        <v>0.92677807648060473</v>
      </c>
      <c r="E47" s="5" t="s">
        <v>749</v>
      </c>
    </row>
    <row r="48" spans="1:124" x14ac:dyDescent="0.2">
      <c r="C48" s="5" t="s">
        <v>617</v>
      </c>
      <c r="D48" s="10">
        <v>1.1898231003384834</v>
      </c>
      <c r="E48" s="5" t="s">
        <v>750</v>
      </c>
    </row>
    <row r="49" spans="2:5" x14ac:dyDescent="0.2">
      <c r="D49" s="10">
        <f>COUNT(m!AF171:EL171)</f>
        <v>73</v>
      </c>
      <c r="E49" s="5" t="s">
        <v>625</v>
      </c>
    </row>
    <row r="50" spans="2:5" x14ac:dyDescent="0.2">
      <c r="D50" s="10">
        <f>SUMSQ(m!AF173:EL173)</f>
        <v>3.1141871919385546</v>
      </c>
      <c r="E50" s="5" t="s">
        <v>593</v>
      </c>
    </row>
    <row r="51" spans="2:5" x14ac:dyDescent="0.2">
      <c r="D51" s="10">
        <f>SQRT(D50/(D49-1))</f>
        <v>0.20797259407920909</v>
      </c>
      <c r="E51" s="5" t="s">
        <v>594</v>
      </c>
    </row>
    <row r="52" spans="2:5" x14ac:dyDescent="0.2">
      <c r="D52">
        <f>D16</f>
        <v>0.19059631899652274</v>
      </c>
      <c r="E52" s="5" t="s">
        <v>684</v>
      </c>
    </row>
    <row r="53" spans="2:5" x14ac:dyDescent="0.2">
      <c r="D53" s="10"/>
    </row>
    <row r="54" spans="2:5" x14ac:dyDescent="0.2">
      <c r="B54" s="25" t="s">
        <v>629</v>
      </c>
    </row>
    <row r="55" spans="2:5" x14ac:dyDescent="0.2">
      <c r="C55" s="5" t="s">
        <v>626</v>
      </c>
      <c r="D55" s="10">
        <v>1.7314658174123276</v>
      </c>
      <c r="E55" s="5" t="s">
        <v>748</v>
      </c>
    </row>
    <row r="56" spans="2:5" x14ac:dyDescent="0.2">
      <c r="C56" s="5" t="s">
        <v>627</v>
      </c>
      <c r="D56" s="10">
        <v>1.0117740158539028</v>
      </c>
      <c r="E56" s="5" t="s">
        <v>749</v>
      </c>
    </row>
    <row r="57" spans="2:5" x14ac:dyDescent="0.2">
      <c r="C57" s="5" t="s">
        <v>628</v>
      </c>
      <c r="D57" s="10">
        <v>1.1645112638377515</v>
      </c>
      <c r="E57" s="5" t="s">
        <v>750</v>
      </c>
    </row>
    <row r="58" spans="2:5" x14ac:dyDescent="0.2">
      <c r="D58" s="10">
        <f>COUNT(m!AF172:EL172)</f>
        <v>73</v>
      </c>
      <c r="E58" s="5" t="s">
        <v>625</v>
      </c>
    </row>
    <row r="59" spans="2:5" x14ac:dyDescent="0.2">
      <c r="D59" s="10">
        <f>SUMSQ(m!AF174:EL174)</f>
        <v>2.8314539551710056</v>
      </c>
      <c r="E59" s="5" t="s">
        <v>593</v>
      </c>
    </row>
    <row r="60" spans="2:5" x14ac:dyDescent="0.2">
      <c r="D60" s="10">
        <f>SQRT(D59/(D58-1))</f>
        <v>0.19830720959504997</v>
      </c>
      <c r="E60" s="5" t="s">
        <v>594</v>
      </c>
    </row>
    <row r="61" spans="2:5" x14ac:dyDescent="0.2">
      <c r="D61">
        <f>D25</f>
        <v>0.17469614688017715</v>
      </c>
      <c r="E61" s="5" t="s">
        <v>684</v>
      </c>
    </row>
    <row r="62" spans="2:5" x14ac:dyDescent="0.2">
      <c r="B62" s="25" t="s">
        <v>634</v>
      </c>
    </row>
    <row r="65" spans="1:11" x14ac:dyDescent="0.2">
      <c r="A65" s="24" t="s">
        <v>701</v>
      </c>
      <c r="E65" s="5"/>
    </row>
    <row r="66" spans="1:11" x14ac:dyDescent="0.2">
      <c r="A66" s="66"/>
      <c r="B66" s="25" t="s">
        <v>699</v>
      </c>
    </row>
    <row r="67" spans="1:11" x14ac:dyDescent="0.2">
      <c r="C67" s="5" t="s">
        <v>685</v>
      </c>
      <c r="D67" s="10">
        <v>4.8963327634612641</v>
      </c>
      <c r="E67" s="5" t="s">
        <v>718</v>
      </c>
      <c r="J67">
        <f t="shared" ref="J67:J69" si="6">D11</f>
        <v>3.31235058547303</v>
      </c>
    </row>
    <row r="68" spans="1:11" x14ac:dyDescent="0.2">
      <c r="C68" s="5" t="s">
        <v>686</v>
      </c>
      <c r="D68" s="10">
        <v>0.15200783836205031</v>
      </c>
      <c r="E68" s="5" t="s">
        <v>719</v>
      </c>
      <c r="J68">
        <f t="shared" si="6"/>
        <v>0.1553906410541698</v>
      </c>
    </row>
    <row r="69" spans="1:11" x14ac:dyDescent="0.2">
      <c r="C69" s="5" t="s">
        <v>687</v>
      </c>
      <c r="D69" s="10">
        <v>0.15665101502823289</v>
      </c>
      <c r="E69" s="5" t="s">
        <v>720</v>
      </c>
      <c r="J69">
        <f t="shared" si="6"/>
        <v>0.20310744898569263</v>
      </c>
    </row>
    <row r="70" spans="1:11" x14ac:dyDescent="0.2">
      <c r="C70" s="5" t="s">
        <v>688</v>
      </c>
      <c r="D70" s="10">
        <v>-0.59302773727679314</v>
      </c>
      <c r="E70" s="5" t="s">
        <v>721</v>
      </c>
      <c r="J70">
        <v>0</v>
      </c>
    </row>
    <row r="71" spans="1:11" x14ac:dyDescent="0.2">
      <c r="D71" s="10">
        <f>COUNT(m!AF175:EL175)</f>
        <v>73</v>
      </c>
      <c r="E71" s="5" t="s">
        <v>592</v>
      </c>
      <c r="J71">
        <f>D14</f>
        <v>73</v>
      </c>
    </row>
    <row r="72" spans="1:11" x14ac:dyDescent="0.2">
      <c r="D72" s="10">
        <f>SUMSQ(m!AF175:EL175)</f>
        <v>1.8133049093456117</v>
      </c>
      <c r="E72" s="5" t="s">
        <v>593</v>
      </c>
      <c r="J72">
        <f t="shared" ref="J72:J73" si="7">D15</f>
        <v>2.6155408906817463</v>
      </c>
    </row>
    <row r="73" spans="1:11" x14ac:dyDescent="0.2">
      <c r="D73" s="10">
        <f>SQRT(D72/(D71-1))</f>
        <v>0.15869716572005294</v>
      </c>
      <c r="E73" s="5" t="s">
        <v>594</v>
      </c>
      <c r="J73">
        <f t="shared" si="7"/>
        <v>0.19059631899652274</v>
      </c>
      <c r="K73">
        <f>D73/J73-1</f>
        <v>-0.16736500182383784</v>
      </c>
    </row>
    <row r="74" spans="1:11" x14ac:dyDescent="0.2">
      <c r="D74" s="10"/>
    </row>
    <row r="75" spans="1:11" x14ac:dyDescent="0.2">
      <c r="D75" s="10"/>
    </row>
    <row r="76" spans="1:11" x14ac:dyDescent="0.2">
      <c r="A76" s="66"/>
      <c r="B76" s="25" t="s">
        <v>700</v>
      </c>
      <c r="D76" s="10"/>
    </row>
    <row r="77" spans="1:11" x14ac:dyDescent="0.2">
      <c r="C77" s="5" t="s">
        <v>689</v>
      </c>
      <c r="D77" s="10">
        <v>2.7241783712300034</v>
      </c>
      <c r="E77" s="5" t="s">
        <v>722</v>
      </c>
      <c r="J77">
        <f t="shared" ref="J77:J79" si="8">D20</f>
        <v>2.3191206690554163</v>
      </c>
    </row>
    <row r="78" spans="1:11" x14ac:dyDescent="0.2">
      <c r="C78" s="5" t="s">
        <v>690</v>
      </c>
      <c r="D78" s="10">
        <v>0.21501646413269687</v>
      </c>
      <c r="E78" s="5" t="s">
        <v>723</v>
      </c>
      <c r="J78">
        <f t="shared" si="8"/>
        <v>0.21641121068176647</v>
      </c>
    </row>
    <row r="79" spans="1:11" x14ac:dyDescent="0.2">
      <c r="C79" s="5" t="s">
        <v>691</v>
      </c>
      <c r="D79" s="10">
        <v>0.21381283321933622</v>
      </c>
      <c r="E79" s="5" t="s">
        <v>724</v>
      </c>
      <c r="J79">
        <f t="shared" si="8"/>
        <v>0.23294808140107889</v>
      </c>
    </row>
    <row r="80" spans="1:11" x14ac:dyDescent="0.2">
      <c r="C80" s="5" t="s">
        <v>692</v>
      </c>
      <c r="D80" s="10">
        <v>-0.24425594734795714</v>
      </c>
      <c r="E80" s="5" t="s">
        <v>725</v>
      </c>
      <c r="J80">
        <v>0</v>
      </c>
    </row>
    <row r="81" spans="1:11" x14ac:dyDescent="0.2">
      <c r="D81" s="10">
        <f>COUNT(m!AF176:EL176)</f>
        <v>73</v>
      </c>
      <c r="E81" s="5" t="s">
        <v>595</v>
      </c>
      <c r="J81">
        <f>D23</f>
        <v>73</v>
      </c>
    </row>
    <row r="82" spans="1:11" x14ac:dyDescent="0.2">
      <c r="D82" s="10">
        <f>SUMSQ(m!AF176:EL176)</f>
        <v>2.0612469354865759</v>
      </c>
      <c r="E82" s="5" t="s">
        <v>593</v>
      </c>
      <c r="J82">
        <f t="shared" ref="J82:J83" si="9">D24</f>
        <v>2.1973495489041905</v>
      </c>
    </row>
    <row r="83" spans="1:11" x14ac:dyDescent="0.2">
      <c r="D83" s="10">
        <f>SQRT(D82/(D81-1))</f>
        <v>0.16919937842538246</v>
      </c>
      <c r="E83" s="5" t="s">
        <v>594</v>
      </c>
      <c r="J83">
        <f t="shared" si="9"/>
        <v>0.17469614688017715</v>
      </c>
      <c r="K83">
        <f>D83/J83-1</f>
        <v>-3.1464737791640496E-2</v>
      </c>
    </row>
    <row r="86" spans="1:11" x14ac:dyDescent="0.2">
      <c r="A86" s="24" t="s">
        <v>751</v>
      </c>
      <c r="E86" s="5"/>
    </row>
    <row r="87" spans="1:11" x14ac:dyDescent="0.2">
      <c r="A87" s="66"/>
      <c r="B87" s="25" t="s">
        <v>712</v>
      </c>
    </row>
    <row r="88" spans="1:11" x14ac:dyDescent="0.2">
      <c r="C88" s="5" t="s">
        <v>702</v>
      </c>
      <c r="D88" s="10">
        <v>20.010498408526839</v>
      </c>
      <c r="E88" s="5" t="s">
        <v>726</v>
      </c>
      <c r="J88">
        <f>D67</f>
        <v>4.8963327634612641</v>
      </c>
    </row>
    <row r="89" spans="1:11" x14ac:dyDescent="0.2">
      <c r="C89" s="5" t="s">
        <v>703</v>
      </c>
      <c r="D89" s="10">
        <v>0.19283383101918819</v>
      </c>
      <c r="E89" s="5" t="s">
        <v>727</v>
      </c>
      <c r="J89">
        <f t="shared" ref="J89:J91" si="10">D68</f>
        <v>0.15200783836205031</v>
      </c>
    </row>
    <row r="90" spans="1:11" x14ac:dyDescent="0.2">
      <c r="C90" s="5" t="s">
        <v>704</v>
      </c>
      <c r="D90" s="10">
        <v>0.1413969767020605</v>
      </c>
      <c r="E90" s="5" t="s">
        <v>728</v>
      </c>
      <c r="J90">
        <f t="shared" si="10"/>
        <v>0.15665101502823289</v>
      </c>
    </row>
    <row r="91" spans="1:11" x14ac:dyDescent="0.2">
      <c r="C91" s="5" t="s">
        <v>705</v>
      </c>
      <c r="D91" s="10">
        <v>-1.0186140906420027</v>
      </c>
      <c r="E91" s="5" t="s">
        <v>729</v>
      </c>
      <c r="J91">
        <f t="shared" si="10"/>
        <v>-0.59302773727679314</v>
      </c>
    </row>
    <row r="92" spans="1:11" x14ac:dyDescent="0.2">
      <c r="C92" s="5" t="s">
        <v>706</v>
      </c>
      <c r="D92" s="10">
        <v>-0.12938810208815335</v>
      </c>
      <c r="E92" s="5" t="s">
        <v>730</v>
      </c>
      <c r="J92">
        <v>0</v>
      </c>
    </row>
    <row r="93" spans="1:11" x14ac:dyDescent="0.2">
      <c r="D93" s="10">
        <f>COUNT(m!AF179:EL179)</f>
        <v>73</v>
      </c>
      <c r="E93" s="5" t="s">
        <v>592</v>
      </c>
      <c r="J93">
        <f>D71</f>
        <v>73</v>
      </c>
    </row>
    <row r="94" spans="1:11" x14ac:dyDescent="0.2">
      <c r="D94" s="10">
        <f>SUMSQ(m!AF179:EL179)</f>
        <v>1.3132067023072231</v>
      </c>
      <c r="E94" s="5" t="s">
        <v>593</v>
      </c>
      <c r="J94">
        <f>D72</f>
        <v>1.8133049093456117</v>
      </c>
    </row>
    <row r="95" spans="1:11" x14ac:dyDescent="0.2">
      <c r="D95" s="10">
        <f>SQRT(D94/(D93-1))</f>
        <v>0.13505177516970746</v>
      </c>
      <c r="E95" s="5" t="s">
        <v>594</v>
      </c>
      <c r="J95">
        <f>D73</f>
        <v>0.15869716572005294</v>
      </c>
      <c r="K95">
        <f>D95/J95-1</f>
        <v>-0.14899693036772144</v>
      </c>
    </row>
    <row r="96" spans="1:11" x14ac:dyDescent="0.2">
      <c r="D96" s="10"/>
    </row>
    <row r="97" spans="1:11" x14ac:dyDescent="0.2">
      <c r="D97" s="10"/>
    </row>
    <row r="98" spans="1:11" x14ac:dyDescent="0.2">
      <c r="A98" s="66"/>
      <c r="B98" s="25" t="s">
        <v>713</v>
      </c>
      <c r="D98" s="10"/>
    </row>
    <row r="99" spans="1:11" x14ac:dyDescent="0.2">
      <c r="C99" s="5" t="s">
        <v>707</v>
      </c>
      <c r="D99" s="10">
        <v>12.450378929589258</v>
      </c>
      <c r="E99" s="5" t="s">
        <v>731</v>
      </c>
      <c r="J99">
        <f t="shared" ref="J99:J102" si="11">D77</f>
        <v>2.7241783712300034</v>
      </c>
    </row>
    <row r="100" spans="1:11" x14ac:dyDescent="0.2">
      <c r="C100" s="5" t="s">
        <v>708</v>
      </c>
      <c r="D100" s="10">
        <v>0.25908349384512047</v>
      </c>
      <c r="E100" s="5" t="s">
        <v>732</v>
      </c>
      <c r="J100">
        <f t="shared" si="11"/>
        <v>0.21501646413269687</v>
      </c>
    </row>
    <row r="101" spans="1:11" x14ac:dyDescent="0.2">
      <c r="C101" s="5" t="s">
        <v>709</v>
      </c>
      <c r="D101" s="10">
        <v>0.19734254570812412</v>
      </c>
      <c r="E101" s="5" t="s">
        <v>733</v>
      </c>
      <c r="J101">
        <f t="shared" si="11"/>
        <v>0.21381283321933622</v>
      </c>
    </row>
    <row r="102" spans="1:11" x14ac:dyDescent="0.2">
      <c r="C102" s="5" t="s">
        <v>710</v>
      </c>
      <c r="D102" s="10">
        <v>-0.70359642234539221</v>
      </c>
      <c r="E102" s="5" t="s">
        <v>734</v>
      </c>
      <c r="J102">
        <f t="shared" si="11"/>
        <v>-0.24425594734795714</v>
      </c>
    </row>
    <row r="103" spans="1:11" x14ac:dyDescent="0.2">
      <c r="C103" s="5" t="s">
        <v>711</v>
      </c>
      <c r="D103" s="10">
        <v>-0.13966561255429782</v>
      </c>
      <c r="E103" s="5" t="s">
        <v>735</v>
      </c>
      <c r="J103">
        <v>0</v>
      </c>
    </row>
    <row r="104" spans="1:11" x14ac:dyDescent="0.2">
      <c r="D104" s="10">
        <f>COUNT(m!AF180:EL180)</f>
        <v>73</v>
      </c>
      <c r="E104" s="5" t="s">
        <v>595</v>
      </c>
      <c r="J104">
        <f>D81</f>
        <v>73</v>
      </c>
    </row>
    <row r="105" spans="1:11" x14ac:dyDescent="0.2">
      <c r="D105" s="10">
        <f>SUMSQ(m!AF180:EL180)</f>
        <v>1.4784353245267976</v>
      </c>
      <c r="E105" s="5" t="s">
        <v>593</v>
      </c>
      <c r="J105">
        <f>D82</f>
        <v>2.0612469354865759</v>
      </c>
    </row>
    <row r="106" spans="1:11" x14ac:dyDescent="0.2">
      <c r="D106" s="10">
        <f>SQRT(D105/(D104-1))</f>
        <v>0.14329628031376487</v>
      </c>
      <c r="E106" s="5" t="s">
        <v>594</v>
      </c>
      <c r="J106">
        <f>D83</f>
        <v>0.16919937842538246</v>
      </c>
      <c r="K106">
        <f>D106/J106-1</f>
        <v>-0.15309215880506888</v>
      </c>
    </row>
    <row r="111" spans="1:11" x14ac:dyDescent="0.2">
      <c r="A111" s="24" t="s">
        <v>651</v>
      </c>
    </row>
    <row r="112" spans="1:11" x14ac:dyDescent="0.2">
      <c r="B112" s="25" t="s">
        <v>632</v>
      </c>
    </row>
    <row r="113" spans="1:14" x14ac:dyDescent="0.2">
      <c r="D113">
        <f>EXP(AVERAGE(m!AF183:EL183))</f>
        <v>0.77359995935112202</v>
      </c>
      <c r="E113" s="5" t="s">
        <v>635</v>
      </c>
    </row>
    <row r="114" spans="1:14" x14ac:dyDescent="0.2">
      <c r="D114">
        <f>STDEV(m!AF183:EL183)</f>
        <v>0.38247309777200372</v>
      </c>
      <c r="E114" s="5" t="s">
        <v>636</v>
      </c>
    </row>
    <row r="115" spans="1:14" x14ac:dyDescent="0.2">
      <c r="B115" s="25" t="s">
        <v>633</v>
      </c>
    </row>
    <row r="116" spans="1:14" x14ac:dyDescent="0.2">
      <c r="D116">
        <f>EXP(AVERAGE(m!AF184:EL184))</f>
        <v>0.47871044166024718</v>
      </c>
      <c r="E116" s="5" t="s">
        <v>635</v>
      </c>
    </row>
    <row r="117" spans="1:14" x14ac:dyDescent="0.2">
      <c r="D117">
        <f>STDEV(m!AF184:EL184)</f>
        <v>0.26746290873345613</v>
      </c>
      <c r="E117" s="5" t="s">
        <v>636</v>
      </c>
    </row>
    <row r="120" spans="1:14" x14ac:dyDescent="0.2">
      <c r="A120" s="24" t="s">
        <v>650</v>
      </c>
    </row>
    <row r="121" spans="1:14" x14ac:dyDescent="0.2">
      <c r="B121" s="25" t="s">
        <v>632</v>
      </c>
      <c r="N121" s="5" t="s">
        <v>652</v>
      </c>
    </row>
    <row r="122" spans="1:14" x14ac:dyDescent="0.2">
      <c r="D122">
        <f>EXP(AVERAGE(m!AF185:EL185))</f>
        <v>0.77973133637126624</v>
      </c>
      <c r="E122" s="5" t="s">
        <v>635</v>
      </c>
      <c r="N122" s="67">
        <f>D122/D113-1</f>
        <v>7.925772159149469E-3</v>
      </c>
    </row>
    <row r="123" spans="1:14" x14ac:dyDescent="0.2">
      <c r="D123">
        <f>STDEV(m!AF185:EL185)</f>
        <v>0.38120150645045142</v>
      </c>
      <c r="E123" s="5" t="s">
        <v>636</v>
      </c>
      <c r="N123" s="67">
        <f>D123/D114-1</f>
        <v>-3.3246555874376638E-3</v>
      </c>
    </row>
    <row r="124" spans="1:14" x14ac:dyDescent="0.2">
      <c r="B124" s="25" t="s">
        <v>633</v>
      </c>
    </row>
    <row r="125" spans="1:14" x14ac:dyDescent="0.2">
      <c r="D125">
        <f>EXP(AVERAGE(m!AF186:EL186))</f>
        <v>0.47859701022358903</v>
      </c>
      <c r="E125" s="5" t="s">
        <v>635</v>
      </c>
      <c r="N125" s="67">
        <f t="shared" ref="N125:N126" si="12">D125/D116-1</f>
        <v>-2.3695208373719634E-4</v>
      </c>
    </row>
    <row r="126" spans="1:14" x14ac:dyDescent="0.2">
      <c r="D126">
        <f>STDEV(m!AF186:EL186)</f>
        <v>0.26730681750314894</v>
      </c>
      <c r="E126" s="5" t="s">
        <v>636</v>
      </c>
      <c r="N126" s="67">
        <f t="shared" si="12"/>
        <v>-5.8359953926445662E-4</v>
      </c>
    </row>
    <row r="130" spans="1:5" x14ac:dyDescent="0.2">
      <c r="A130" s="24" t="s">
        <v>675</v>
      </c>
    </row>
    <row r="131" spans="1:5" x14ac:dyDescent="0.2">
      <c r="B131" s="25" t="s">
        <v>632</v>
      </c>
    </row>
    <row r="132" spans="1:5" x14ac:dyDescent="0.2">
      <c r="D132">
        <f>EXP(AVERAGE(m!AF189:EL189))</f>
        <v>0.71597083757419866</v>
      </c>
      <c r="E132" s="5" t="s">
        <v>676</v>
      </c>
    </row>
    <row r="133" spans="1:5" x14ac:dyDescent="0.2">
      <c r="D133">
        <f>STDEV(m!AF189:EL189)</f>
        <v>1.7978174682077346</v>
      </c>
      <c r="E133" s="5" t="s">
        <v>677</v>
      </c>
    </row>
    <row r="134" spans="1:5" x14ac:dyDescent="0.2">
      <c r="D134">
        <f>EXP(MAX(m!AF189:EL189))</f>
        <v>47.692196854990797</v>
      </c>
      <c r="E134" s="5" t="s">
        <v>678</v>
      </c>
    </row>
    <row r="135" spans="1:5" x14ac:dyDescent="0.2">
      <c r="D135">
        <f>EXP(MIN(m!AF189:EL189))</f>
        <v>4.0801573520638255E-2</v>
      </c>
      <c r="E135" s="5" t="s">
        <v>679</v>
      </c>
    </row>
    <row r="136" spans="1:5" x14ac:dyDescent="0.2">
      <c r="D136">
        <f>D134/D135</f>
        <v>1168.8813136303954</v>
      </c>
      <c r="E136" s="5" t="s">
        <v>680</v>
      </c>
    </row>
    <row r="137" spans="1:5" x14ac:dyDescent="0.2">
      <c r="B137" s="25" t="s">
        <v>633</v>
      </c>
    </row>
    <row r="138" spans="1:5" x14ac:dyDescent="0.2">
      <c r="D138">
        <f>EXP(AVERAGE(m!AF190:EL190))</f>
        <v>0.35094039950320532</v>
      </c>
      <c r="E138" s="5" t="s">
        <v>676</v>
      </c>
    </row>
    <row r="139" spans="1:5" x14ac:dyDescent="0.2">
      <c r="D139">
        <f>STDEV(m!AF190:EL190)</f>
        <v>1.5382486796353456</v>
      </c>
      <c r="E139" s="5" t="s">
        <v>677</v>
      </c>
    </row>
    <row r="140" spans="1:5" x14ac:dyDescent="0.2">
      <c r="D140">
        <f>EXP(MAX(m!AF190:EL190))</f>
        <v>6.7768641726793462</v>
      </c>
      <c r="E140" s="5" t="s">
        <v>678</v>
      </c>
    </row>
    <row r="141" spans="1:5" x14ac:dyDescent="0.2">
      <c r="D141">
        <f>EXP(MIN(m!AF190:EL190))</f>
        <v>3.7609138591922837E-2</v>
      </c>
      <c r="E141" s="5" t="s">
        <v>679</v>
      </c>
    </row>
    <row r="142" spans="1:5" x14ac:dyDescent="0.2">
      <c r="D142">
        <f>D140/D141</f>
        <v>180.19195404105284</v>
      </c>
      <c r="E142" s="5" t="s">
        <v>680</v>
      </c>
    </row>
  </sheetData>
  <phoneticPr fontId="13" type="noConversion"/>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9BE85-9166-4F74-ACF5-6C7F36B79E5B}">
  <sheetPr codeName="Sheet8"/>
  <dimension ref="A1:Z276"/>
  <sheetViews>
    <sheetView topLeftCell="A233" workbookViewId="0">
      <selection activeCell="Z276" sqref="Z276"/>
    </sheetView>
  </sheetViews>
  <sheetFormatPr defaultRowHeight="15" x14ac:dyDescent="0.2"/>
  <cols>
    <col min="1" max="1" width="1.7109375" style="24" customWidth="1"/>
    <col min="2" max="2" width="1.7109375" style="25" customWidth="1"/>
    <col min="4" max="4" width="12" bestFit="1" customWidth="1"/>
    <col min="12" max="12" width="12.42578125" bestFit="1" customWidth="1"/>
  </cols>
  <sheetData>
    <row r="1" spans="1:3" x14ac:dyDescent="0.2">
      <c r="A1" s="24" t="s">
        <v>577</v>
      </c>
    </row>
    <row r="2" spans="1:3" x14ac:dyDescent="0.2">
      <c r="C2" s="5" t="s">
        <v>758</v>
      </c>
    </row>
    <row r="4" spans="1:3" x14ac:dyDescent="0.2">
      <c r="A4" s="24" t="s">
        <v>338</v>
      </c>
    </row>
    <row r="5" spans="1:3" x14ac:dyDescent="0.2">
      <c r="C5">
        <v>0.95931262586627597</v>
      </c>
    </row>
    <row r="6" spans="1:3" x14ac:dyDescent="0.2">
      <c r="C6">
        <v>0.99834484667710632</v>
      </c>
    </row>
    <row r="7" spans="1:3" x14ac:dyDescent="0.2">
      <c r="C7">
        <v>1.0251873368791706</v>
      </c>
    </row>
    <row r="8" spans="1:3" x14ac:dyDescent="0.2">
      <c r="C8">
        <v>1.0591191295369629</v>
      </c>
    </row>
    <row r="9" spans="1:3" x14ac:dyDescent="0.2">
      <c r="C9">
        <v>1.0919553052534239</v>
      </c>
    </row>
    <row r="10" spans="1:3" x14ac:dyDescent="0.2">
      <c r="C10">
        <v>1.1025793078802699</v>
      </c>
    </row>
    <row r="11" spans="1:3" x14ac:dyDescent="0.2">
      <c r="C11">
        <v>1.1028723403123721</v>
      </c>
    </row>
    <row r="12" spans="1:3" x14ac:dyDescent="0.2">
      <c r="C12">
        <v>1.1056289978340066</v>
      </c>
    </row>
    <row r="13" spans="1:3" x14ac:dyDescent="0.2">
      <c r="C13">
        <v>1.1231796436587596</v>
      </c>
    </row>
    <row r="14" spans="1:3" x14ac:dyDescent="0.2">
      <c r="C14">
        <v>1.1515535876000997</v>
      </c>
    </row>
    <row r="15" spans="1:3" x14ac:dyDescent="0.2">
      <c r="C15">
        <v>1.192510386981247</v>
      </c>
    </row>
    <row r="16" spans="1:3" x14ac:dyDescent="0.2">
      <c r="C16">
        <v>1.2077756213486157</v>
      </c>
    </row>
    <row r="17" spans="3:3" x14ac:dyDescent="0.2">
      <c r="C17">
        <v>1.2714352182320985</v>
      </c>
    </row>
    <row r="18" spans="3:3" x14ac:dyDescent="0.2">
      <c r="C18">
        <v>1.3933406344529753</v>
      </c>
    </row>
    <row r="19" spans="3:3" x14ac:dyDescent="0.2">
      <c r="C19">
        <v>1.4685528804095731</v>
      </c>
    </row>
    <row r="20" spans="3:3" x14ac:dyDescent="0.2">
      <c r="C20">
        <v>1.6657026972646169</v>
      </c>
    </row>
    <row r="21" spans="3:3" x14ac:dyDescent="0.2">
      <c r="C21">
        <v>1.72401434554519</v>
      </c>
    </row>
    <row r="22" spans="3:3" x14ac:dyDescent="0.2">
      <c r="C22">
        <v>1.7735020226986353</v>
      </c>
    </row>
    <row r="23" spans="3:3" x14ac:dyDescent="0.2">
      <c r="C23">
        <v>1.8850320220016954</v>
      </c>
    </row>
    <row r="24" spans="3:3" x14ac:dyDescent="0.2">
      <c r="C24">
        <v>1.8957826118630736</v>
      </c>
    </row>
    <row r="25" spans="3:3" x14ac:dyDescent="0.2">
      <c r="C25">
        <v>2.0034599411327561</v>
      </c>
    </row>
    <row r="26" spans="3:3" x14ac:dyDescent="0.2">
      <c r="C26">
        <v>2.2345316723735218</v>
      </c>
    </row>
    <row r="27" spans="3:3" x14ac:dyDescent="0.2">
      <c r="C27">
        <v>2.2359797897327645</v>
      </c>
    </row>
    <row r="28" spans="3:3" x14ac:dyDescent="0.2">
      <c r="C28">
        <v>2.6231064436735849</v>
      </c>
    </row>
    <row r="29" spans="3:3" x14ac:dyDescent="0.2">
      <c r="C29">
        <v>2.6785350127838461</v>
      </c>
    </row>
    <row r="30" spans="3:3" x14ac:dyDescent="0.2">
      <c r="C30">
        <v>2.6809433447142426</v>
      </c>
    </row>
    <row r="31" spans="3:3" x14ac:dyDescent="0.2">
      <c r="C31">
        <v>3.0214178176496218</v>
      </c>
    </row>
    <row r="32" spans="3:3" x14ac:dyDescent="0.2">
      <c r="C32">
        <v>3.0770338188674491</v>
      </c>
    </row>
    <row r="33" spans="3:3" x14ac:dyDescent="0.2">
      <c r="C33">
        <v>3.7666895969175127</v>
      </c>
    </row>
    <row r="34" spans="3:3" x14ac:dyDescent="0.2">
      <c r="C34">
        <v>3.9819500509448171</v>
      </c>
    </row>
    <row r="35" spans="3:3" x14ac:dyDescent="0.2">
      <c r="C35">
        <v>4.5469116659987687</v>
      </c>
    </row>
    <row r="36" spans="3:3" x14ac:dyDescent="0.2">
      <c r="C36">
        <v>4.9032420224881452</v>
      </c>
    </row>
    <row r="37" spans="3:3" x14ac:dyDescent="0.2">
      <c r="C37">
        <v>5.0453646864749508</v>
      </c>
    </row>
    <row r="38" spans="3:3" x14ac:dyDescent="0.2">
      <c r="C38">
        <v>5.154905288650987</v>
      </c>
    </row>
    <row r="39" spans="3:3" x14ac:dyDescent="0.2">
      <c r="C39">
        <v>5.408353073811563</v>
      </c>
    </row>
    <row r="40" spans="3:3" x14ac:dyDescent="0.2">
      <c r="C40">
        <v>5.6648585615667919</v>
      </c>
    </row>
    <row r="41" spans="3:3" x14ac:dyDescent="0.2">
      <c r="C41">
        <v>6.0526881112960602</v>
      </c>
    </row>
    <row r="42" spans="3:3" x14ac:dyDescent="0.2">
      <c r="C42">
        <v>6.0623627952754546</v>
      </c>
    </row>
    <row r="43" spans="3:3" x14ac:dyDescent="0.2">
      <c r="C43">
        <v>6.3298791757150115</v>
      </c>
    </row>
    <row r="44" spans="3:3" x14ac:dyDescent="0.2">
      <c r="C44">
        <v>6.3301131825501749</v>
      </c>
    </row>
    <row r="45" spans="3:3" x14ac:dyDescent="0.2">
      <c r="C45">
        <v>6.5196411657785642</v>
      </c>
    </row>
    <row r="46" spans="3:3" x14ac:dyDescent="0.2">
      <c r="C46">
        <v>6.5385293353880218</v>
      </c>
    </row>
    <row r="47" spans="3:3" x14ac:dyDescent="0.2">
      <c r="C47">
        <v>6.6780438219414266</v>
      </c>
    </row>
    <row r="48" spans="3:3" x14ac:dyDescent="0.2">
      <c r="C48">
        <v>6.8232928038368632</v>
      </c>
    </row>
    <row r="49" spans="3:3" x14ac:dyDescent="0.2">
      <c r="C49">
        <v>6.8827228840656973</v>
      </c>
    </row>
    <row r="50" spans="3:3" x14ac:dyDescent="0.2">
      <c r="C50">
        <v>6.9941799281985251</v>
      </c>
    </row>
    <row r="51" spans="3:3" x14ac:dyDescent="0.2">
      <c r="C51">
        <v>7.0094627058965058</v>
      </c>
    </row>
    <row r="52" spans="3:3" x14ac:dyDescent="0.2">
      <c r="C52">
        <v>7.3666796900735303</v>
      </c>
    </row>
    <row r="53" spans="3:3" x14ac:dyDescent="0.2">
      <c r="C53">
        <v>7.8664433508505711</v>
      </c>
    </row>
    <row r="54" spans="3:3" x14ac:dyDescent="0.2">
      <c r="C54">
        <v>8.0284894017907167</v>
      </c>
    </row>
    <row r="55" spans="3:3" x14ac:dyDescent="0.2">
      <c r="C55">
        <v>8.0451490313237208</v>
      </c>
    </row>
    <row r="56" spans="3:3" x14ac:dyDescent="0.2">
      <c r="C56">
        <v>8.4563881945228196</v>
      </c>
    </row>
    <row r="57" spans="3:3" x14ac:dyDescent="0.2">
      <c r="C57">
        <v>8.5999374473594852</v>
      </c>
    </row>
    <row r="58" spans="3:3" x14ac:dyDescent="0.2">
      <c r="C58">
        <v>9.058449261180316</v>
      </c>
    </row>
    <row r="59" spans="3:3" x14ac:dyDescent="0.2">
      <c r="C59">
        <v>9.4233334125514787</v>
      </c>
    </row>
    <row r="60" spans="3:3" x14ac:dyDescent="0.2">
      <c r="C60">
        <v>10.810277700421596</v>
      </c>
    </row>
    <row r="61" spans="3:3" x14ac:dyDescent="0.2">
      <c r="C61">
        <v>10.859495391314089</v>
      </c>
    </row>
    <row r="62" spans="3:3" x14ac:dyDescent="0.2">
      <c r="C62">
        <v>10.86580831318318</v>
      </c>
    </row>
    <row r="63" spans="3:3" x14ac:dyDescent="0.2">
      <c r="C63">
        <v>11.003571141891484</v>
      </c>
    </row>
    <row r="64" spans="3:3" x14ac:dyDescent="0.2">
      <c r="C64">
        <v>11.170898139527413</v>
      </c>
    </row>
    <row r="65" spans="3:3" x14ac:dyDescent="0.2">
      <c r="C65">
        <v>11.223698400411086</v>
      </c>
    </row>
    <row r="66" spans="3:3" x14ac:dyDescent="0.2">
      <c r="C66">
        <v>11.232099961635724</v>
      </c>
    </row>
    <row r="67" spans="3:3" x14ac:dyDescent="0.2">
      <c r="C67">
        <v>11.252179871809417</v>
      </c>
    </row>
    <row r="68" spans="3:3" x14ac:dyDescent="0.2">
      <c r="C68">
        <v>11.269336129968526</v>
      </c>
    </row>
    <row r="69" spans="3:3" x14ac:dyDescent="0.2">
      <c r="C69">
        <v>11.303408950771255</v>
      </c>
    </row>
    <row r="70" spans="3:3" x14ac:dyDescent="0.2">
      <c r="C70">
        <v>11.441153182781029</v>
      </c>
    </row>
    <row r="71" spans="3:3" x14ac:dyDescent="0.2">
      <c r="C71">
        <v>11.462321546898096</v>
      </c>
    </row>
    <row r="72" spans="3:3" x14ac:dyDescent="0.2">
      <c r="C72">
        <v>11.462332810945878</v>
      </c>
    </row>
    <row r="73" spans="3:3" x14ac:dyDescent="0.2">
      <c r="C73">
        <v>11.487842415788466</v>
      </c>
    </row>
    <row r="74" spans="3:3" x14ac:dyDescent="0.2">
      <c r="C74">
        <v>11.630271244613223</v>
      </c>
    </row>
    <row r="75" spans="3:3" x14ac:dyDescent="0.2">
      <c r="C75">
        <v>11.693849947411628</v>
      </c>
    </row>
    <row r="76" spans="3:3" x14ac:dyDescent="0.2">
      <c r="C76">
        <v>11.766366373383427</v>
      </c>
    </row>
    <row r="77" spans="3:3" x14ac:dyDescent="0.2">
      <c r="C77">
        <v>11.824562591088151</v>
      </c>
    </row>
    <row r="78" spans="3:3" x14ac:dyDescent="0.2">
      <c r="C78">
        <v>11.960799378255555</v>
      </c>
    </row>
    <row r="79" spans="3:3" x14ac:dyDescent="0.2">
      <c r="C79">
        <v>12.021652336608035</v>
      </c>
    </row>
    <row r="80" spans="3:3" x14ac:dyDescent="0.2">
      <c r="C80">
        <v>12.39314191041627</v>
      </c>
    </row>
    <row r="81" spans="3:3" x14ac:dyDescent="0.2">
      <c r="C81">
        <v>12.912503702619032</v>
      </c>
    </row>
    <row r="82" spans="3:3" x14ac:dyDescent="0.2">
      <c r="C82">
        <v>13.01388949792244</v>
      </c>
    </row>
    <row r="83" spans="3:3" x14ac:dyDescent="0.2">
      <c r="C83">
        <v>13.951169656448213</v>
      </c>
    </row>
    <row r="84" spans="3:3" x14ac:dyDescent="0.2">
      <c r="C84">
        <v>14.967634874281726</v>
      </c>
    </row>
    <row r="85" spans="3:3" x14ac:dyDescent="0.2">
      <c r="C85">
        <v>15.021212136386572</v>
      </c>
    </row>
    <row r="86" spans="3:3" x14ac:dyDescent="0.2">
      <c r="C86">
        <v>16.152806707052129</v>
      </c>
    </row>
    <row r="87" spans="3:3" x14ac:dyDescent="0.2">
      <c r="C87">
        <v>16.656638164149282</v>
      </c>
    </row>
    <row r="88" spans="3:3" x14ac:dyDescent="0.2">
      <c r="C88">
        <v>18.904292224553938</v>
      </c>
    </row>
    <row r="89" spans="3:3" x14ac:dyDescent="0.2">
      <c r="C89">
        <v>19.130558061300469</v>
      </c>
    </row>
    <row r="90" spans="3:3" x14ac:dyDescent="0.2">
      <c r="C90">
        <v>22.639463651886633</v>
      </c>
    </row>
    <row r="91" spans="3:3" x14ac:dyDescent="0.2">
      <c r="C91">
        <v>24.391892556467965</v>
      </c>
    </row>
    <row r="92" spans="3:3" x14ac:dyDescent="0.2">
      <c r="C92">
        <v>25.30851824555894</v>
      </c>
    </row>
    <row r="93" spans="3:3" x14ac:dyDescent="0.2">
      <c r="C93">
        <v>26.427104906202789</v>
      </c>
    </row>
    <row r="94" spans="3:3" x14ac:dyDescent="0.2">
      <c r="C94">
        <v>27.162889586886486</v>
      </c>
    </row>
    <row r="95" spans="3:3" x14ac:dyDescent="0.2">
      <c r="C95">
        <v>28.191971805070853</v>
      </c>
    </row>
    <row r="96" spans="3:3" x14ac:dyDescent="0.2">
      <c r="C96">
        <v>28.325629332891609</v>
      </c>
    </row>
    <row r="97" spans="3:26" x14ac:dyDescent="0.2">
      <c r="C97">
        <v>28.621038736397303</v>
      </c>
    </row>
    <row r="98" spans="3:26" x14ac:dyDescent="0.2">
      <c r="C98">
        <v>29.734510695495572</v>
      </c>
    </row>
    <row r="99" spans="3:26" x14ac:dyDescent="0.2">
      <c r="C99">
        <v>29.740161398090979</v>
      </c>
    </row>
    <row r="100" spans="3:26" x14ac:dyDescent="0.2">
      <c r="C100">
        <v>29.934930652950253</v>
      </c>
    </row>
    <row r="101" spans="3:26" x14ac:dyDescent="0.2">
      <c r="C101">
        <v>29.977430074036718</v>
      </c>
    </row>
    <row r="102" spans="3:26" x14ac:dyDescent="0.2">
      <c r="C102">
        <v>30.065626016914369</v>
      </c>
    </row>
    <row r="103" spans="3:26" x14ac:dyDescent="0.2">
      <c r="C103">
        <v>31.856401217061759</v>
      </c>
    </row>
    <row r="104" spans="3:26" x14ac:dyDescent="0.2">
      <c r="C104">
        <v>32.292885474324834</v>
      </c>
    </row>
    <row r="105" spans="3:26" x14ac:dyDescent="0.2">
      <c r="C105">
        <v>32.438035866153264</v>
      </c>
    </row>
    <row r="106" spans="3:26" x14ac:dyDescent="0.2">
      <c r="C106">
        <v>32.804489623370607</v>
      </c>
      <c r="Z106">
        <f>2^7*315</f>
        <v>40320</v>
      </c>
    </row>
    <row r="107" spans="3:26" x14ac:dyDescent="0.2">
      <c r="C107">
        <v>33.217102974428286</v>
      </c>
    </row>
    <row r="108" spans="3:26" x14ac:dyDescent="0.2">
      <c r="C108">
        <v>34.184754408224194</v>
      </c>
    </row>
    <row r="109" spans="3:26" x14ac:dyDescent="0.2">
      <c r="C109">
        <v>37.867263826374177</v>
      </c>
    </row>
    <row r="110" spans="3:26" x14ac:dyDescent="0.2">
      <c r="C110">
        <v>39.226682792790321</v>
      </c>
    </row>
    <row r="111" spans="3:26" x14ac:dyDescent="0.2">
      <c r="C111">
        <v>39.423308538902923</v>
      </c>
    </row>
    <row r="112" spans="3:26" x14ac:dyDescent="0.2">
      <c r="C112">
        <v>40.004296051188781</v>
      </c>
    </row>
    <row r="113" spans="3:3" x14ac:dyDescent="0.2">
      <c r="C113">
        <v>40.707390175646083</v>
      </c>
    </row>
    <row r="114" spans="3:3" x14ac:dyDescent="0.2">
      <c r="C114">
        <v>43.601416410499802</v>
      </c>
    </row>
    <row r="115" spans="3:3" x14ac:dyDescent="0.2">
      <c r="C115">
        <v>43.636818151904194</v>
      </c>
    </row>
    <row r="116" spans="3:3" x14ac:dyDescent="0.2">
      <c r="C116">
        <v>44.983549819985711</v>
      </c>
    </row>
    <row r="117" spans="3:3" x14ac:dyDescent="0.2">
      <c r="C117">
        <v>45.577122310618719</v>
      </c>
    </row>
    <row r="118" spans="3:3" x14ac:dyDescent="0.2">
      <c r="C118">
        <v>47.18882261190754</v>
      </c>
    </row>
    <row r="119" spans="3:3" x14ac:dyDescent="0.2">
      <c r="C119">
        <v>47.518773279036274</v>
      </c>
    </row>
    <row r="120" spans="3:3" x14ac:dyDescent="0.2">
      <c r="C120">
        <v>47.949753015848323</v>
      </c>
    </row>
    <row r="121" spans="3:3" x14ac:dyDescent="0.2">
      <c r="C121">
        <v>48.686348919730847</v>
      </c>
    </row>
    <row r="122" spans="3:3" x14ac:dyDescent="0.2">
      <c r="C122">
        <v>51.347614683737454</v>
      </c>
    </row>
    <row r="123" spans="3:3" x14ac:dyDescent="0.2">
      <c r="C123">
        <v>52.110362557298266</v>
      </c>
    </row>
    <row r="124" spans="3:3" x14ac:dyDescent="0.2">
      <c r="C124">
        <v>56.845340825747876</v>
      </c>
    </row>
    <row r="125" spans="3:3" x14ac:dyDescent="0.2">
      <c r="C125">
        <v>57.260760259312697</v>
      </c>
    </row>
    <row r="126" spans="3:3" x14ac:dyDescent="0.2">
      <c r="C126">
        <v>69.315374934098855</v>
      </c>
    </row>
    <row r="127" spans="3:3" x14ac:dyDescent="0.2">
      <c r="C127">
        <v>80.044164274946709</v>
      </c>
    </row>
    <row r="128" spans="3:3" x14ac:dyDescent="0.2">
      <c r="C128">
        <v>92.328741463789058</v>
      </c>
    </row>
    <row r="129" spans="3:3" x14ac:dyDescent="0.2">
      <c r="C129">
        <v>99.493561294430577</v>
      </c>
    </row>
    <row r="130" spans="3:3" x14ac:dyDescent="0.2">
      <c r="C130">
        <v>101.50658444152997</v>
      </c>
    </row>
    <row r="131" spans="3:3" x14ac:dyDescent="0.2">
      <c r="C131">
        <v>107.47275218334288</v>
      </c>
    </row>
    <row r="132" spans="3:3" x14ac:dyDescent="0.2">
      <c r="C132">
        <v>109.01295409328802</v>
      </c>
    </row>
    <row r="133" spans="3:3" x14ac:dyDescent="0.2">
      <c r="C133">
        <v>112.22195368626384</v>
      </c>
    </row>
    <row r="134" spans="3:3" x14ac:dyDescent="0.2">
      <c r="C134">
        <v>112.5027611445126</v>
      </c>
    </row>
    <row r="135" spans="3:3" x14ac:dyDescent="0.2">
      <c r="C135">
        <v>338.39633144268845</v>
      </c>
    </row>
    <row r="136" spans="3:3" x14ac:dyDescent="0.2">
      <c r="C136">
        <v>375.52385991491388</v>
      </c>
    </row>
    <row r="137" spans="3:3" x14ac:dyDescent="0.2">
      <c r="C137">
        <v>382.2451166678087</v>
      </c>
    </row>
    <row r="138" spans="3:3" x14ac:dyDescent="0.2">
      <c r="C138">
        <v>383.60854948116742</v>
      </c>
    </row>
    <row r="139" spans="3:3" x14ac:dyDescent="0.2">
      <c r="C139">
        <v>385.11180032893662</v>
      </c>
    </row>
    <row r="140" spans="3:3" x14ac:dyDescent="0.2">
      <c r="C140">
        <v>387.12046526060993</v>
      </c>
    </row>
    <row r="142" spans="3:3" x14ac:dyDescent="0.2">
      <c r="C142">
        <f>SQRT(0.4%)/PI()</f>
        <v>2.0131684841794815E-2</v>
      </c>
    </row>
    <row r="146" spans="1:14" x14ac:dyDescent="0.2">
      <c r="A146" s="24" t="s">
        <v>351</v>
      </c>
    </row>
    <row r="147" spans="1:14" x14ac:dyDescent="0.2">
      <c r="C147" s="5" t="s">
        <v>350</v>
      </c>
      <c r="D147" s="5" t="s">
        <v>268</v>
      </c>
      <c r="F147" s="5" t="s">
        <v>352</v>
      </c>
      <c r="G147" s="5" t="s">
        <v>327</v>
      </c>
      <c r="H147" s="5" t="s">
        <v>353</v>
      </c>
      <c r="K147" s="5" t="s">
        <v>350</v>
      </c>
      <c r="L147" s="5" t="s">
        <v>268</v>
      </c>
      <c r="M147" s="5" t="s">
        <v>350</v>
      </c>
      <c r="N147" s="5" t="s">
        <v>268</v>
      </c>
    </row>
    <row r="148" spans="1:14" x14ac:dyDescent="0.2">
      <c r="F148">
        <f t="shared" ref="F148:F158" si="0">SQRT(H148^4*EI+H148^2*Navg)/SQRT(meff)/(2*PI())</f>
        <v>0.32046353222769008</v>
      </c>
      <c r="G148">
        <v>1</v>
      </c>
      <c r="H148">
        <f t="shared" ref="H148:H158" si="1">PI()*G148/Lspan</f>
        <v>8.2673490883941922E-2</v>
      </c>
      <c r="J148">
        <f>AVERAGE(F148:F149)</f>
        <v>0.64210680192569169</v>
      </c>
      <c r="K148">
        <f>J148-0.000001</f>
        <v>0.64210580192569167</v>
      </c>
      <c r="L148" cm="1">
        <f t="array" ref="L148">jstss(K148,Navg,Lspan,EI,meff)</f>
        <v>1</v>
      </c>
      <c r="M148">
        <f>J148+0.000001</f>
        <v>0.64210780192569172</v>
      </c>
      <c r="N148" cm="1">
        <f t="array" ref="N148">jstss(M148,Navg,Lspan,EI,meff)</f>
        <v>3</v>
      </c>
    </row>
    <row r="149" spans="1:14" x14ac:dyDescent="0.2">
      <c r="F149">
        <f t="shared" si="0"/>
        <v>0.96375007162369319</v>
      </c>
      <c r="G149">
        <v>3</v>
      </c>
      <c r="H149">
        <f t="shared" si="1"/>
        <v>0.24802047265182578</v>
      </c>
      <c r="J149">
        <f t="shared" ref="J149:J156" si="2">AVERAGE(F149:F150)</f>
        <v>1.2889181826700593</v>
      </c>
      <c r="K149">
        <f t="shared" ref="K149:K157" si="3">J149-0.000001</f>
        <v>1.2889171826700594</v>
      </c>
      <c r="L149" cm="1">
        <f t="array" ref="L149">jstss(K149,Navg,Lspan,EI,meff)</f>
        <v>3</v>
      </c>
      <c r="M149">
        <f t="shared" ref="M149:M157" si="4">J149+0.000001</f>
        <v>1.2889191826700592</v>
      </c>
      <c r="N149" cm="1">
        <f t="array" ref="N149">jstss(M149,Navg,Lspan,EI,meff)</f>
        <v>5</v>
      </c>
    </row>
    <row r="150" spans="1:14" x14ac:dyDescent="0.2">
      <c r="F150">
        <f t="shared" si="0"/>
        <v>1.6140862937164255</v>
      </c>
      <c r="G150">
        <v>5</v>
      </c>
      <c r="H150">
        <f t="shared" si="1"/>
        <v>0.41336745441970962</v>
      </c>
      <c r="J150">
        <f t="shared" si="2"/>
        <v>1.9450819632286511</v>
      </c>
      <c r="K150">
        <f t="shared" si="3"/>
        <v>1.9450809632286512</v>
      </c>
      <c r="L150" cm="1">
        <f t="array" ref="L150">jstss(K150,Navg,Lspan,EI,meff)</f>
        <v>5</v>
      </c>
      <c r="M150">
        <f t="shared" si="4"/>
        <v>1.945082963228651</v>
      </c>
      <c r="N150" cm="1">
        <f t="array" ref="N150">jstss(M150,Navg,Lspan,EI,meff)</f>
        <v>7</v>
      </c>
    </row>
    <row r="151" spans="1:14" x14ac:dyDescent="0.2">
      <c r="F151">
        <f t="shared" si="0"/>
        <v>2.2760776327408765</v>
      </c>
      <c r="G151">
        <v>7</v>
      </c>
      <c r="H151">
        <f t="shared" si="1"/>
        <v>0.57871443618759344</v>
      </c>
      <c r="J151">
        <f t="shared" si="2"/>
        <v>2.6151352772760585</v>
      </c>
      <c r="K151">
        <f t="shared" si="3"/>
        <v>2.6151342772760584</v>
      </c>
      <c r="L151" cm="1">
        <f t="array" ref="L151">jstss(K151,Navg,Lspan,EI,meff)</f>
        <v>7</v>
      </c>
      <c r="M151">
        <f t="shared" si="4"/>
        <v>2.6151362772760587</v>
      </c>
      <c r="N151" cm="1">
        <f t="array" ref="N151">jstss(M151,Navg,Lspan,EI,meff)</f>
        <v>9</v>
      </c>
    </row>
    <row r="152" spans="1:14" x14ac:dyDescent="0.2">
      <c r="F152">
        <f t="shared" si="0"/>
        <v>2.9541929218112402</v>
      </c>
      <c r="G152">
        <v>9</v>
      </c>
      <c r="H152">
        <f t="shared" si="1"/>
        <v>0.74406141795547731</v>
      </c>
      <c r="J152">
        <f t="shared" si="2"/>
        <v>3.3034560025972191</v>
      </c>
      <c r="K152">
        <f t="shared" si="3"/>
        <v>3.3034550025972189</v>
      </c>
      <c r="L152" cm="1">
        <f t="array" ref="L152">jstss(K152,Navg,Lspan,EI,meff)</f>
        <v>9</v>
      </c>
      <c r="M152">
        <f t="shared" si="4"/>
        <v>3.3034570025972192</v>
      </c>
      <c r="N152" cm="1">
        <f t="array" ref="N152">jstss(M152,Navg,Lspan,EI,meff)</f>
        <v>11</v>
      </c>
    </row>
    <row r="153" spans="1:14" x14ac:dyDescent="0.2">
      <c r="F153">
        <f t="shared" si="0"/>
        <v>3.6527190833831975</v>
      </c>
      <c r="G153">
        <v>11</v>
      </c>
      <c r="H153">
        <f t="shared" si="1"/>
        <v>0.90940839972336107</v>
      </c>
      <c r="J153">
        <f t="shared" si="2"/>
        <v>4.0142215462027551</v>
      </c>
      <c r="K153">
        <f t="shared" si="3"/>
        <v>4.0142205462027549</v>
      </c>
      <c r="L153" cm="1">
        <f t="array" ref="L153">jstss(K153,Navg,Lspan,EI,meff)</f>
        <v>11</v>
      </c>
      <c r="M153">
        <f t="shared" si="4"/>
        <v>4.0142225462027552</v>
      </c>
      <c r="N153" cm="1">
        <f t="array" ref="N153">jstss(M153,Navg,Lspan,EI,meff)</f>
        <v>13</v>
      </c>
    </row>
    <row r="154" spans="1:14" x14ac:dyDescent="0.2">
      <c r="F154">
        <f t="shared" si="0"/>
        <v>4.3757240090223126</v>
      </c>
      <c r="G154">
        <v>13</v>
      </c>
      <c r="H154">
        <f t="shared" si="1"/>
        <v>1.0747553814912452</v>
      </c>
      <c r="J154">
        <f t="shared" si="2"/>
        <v>4.7513762818069036</v>
      </c>
      <c r="K154">
        <f t="shared" si="3"/>
        <v>4.7513752818069035</v>
      </c>
      <c r="L154" cm="1">
        <f t="array" ref="L154">jstss(K154,Navg,Lspan,EI,meff)</f>
        <v>13</v>
      </c>
      <c r="M154">
        <f t="shared" si="4"/>
        <v>4.7513772818069038</v>
      </c>
      <c r="N154" cm="1">
        <f t="array" ref="N154">jstss(M154,Navg,Lspan,EI,meff)</f>
        <v>15</v>
      </c>
    </row>
    <row r="155" spans="1:14" x14ac:dyDescent="0.2">
      <c r="F155">
        <f t="shared" si="0"/>
        <v>5.1270285545914946</v>
      </c>
      <c r="G155">
        <v>15</v>
      </c>
      <c r="H155">
        <f t="shared" si="1"/>
        <v>1.2401023632591288</v>
      </c>
      <c r="J155">
        <f t="shared" si="2"/>
        <v>5.5186081963456521</v>
      </c>
      <c r="K155">
        <f t="shared" si="3"/>
        <v>5.518607196345652</v>
      </c>
      <c r="L155" cm="1">
        <f t="array" ref="L155">jstss(K155,Navg,Lspan,EI,meff)</f>
        <v>15</v>
      </c>
      <c r="M155">
        <f t="shared" si="4"/>
        <v>5.5186091963456523</v>
      </c>
      <c r="N155" cm="1">
        <f t="array" ref="N155">jstss(M155,Navg,Lspan,EI,meff)</f>
        <v>17</v>
      </c>
    </row>
    <row r="156" spans="1:14" x14ac:dyDescent="0.2">
      <c r="F156">
        <f t="shared" si="0"/>
        <v>5.9101878380998096</v>
      </c>
      <c r="G156">
        <v>17</v>
      </c>
      <c r="H156">
        <f t="shared" si="1"/>
        <v>1.4054493450270129</v>
      </c>
      <c r="J156">
        <f t="shared" si="2"/>
        <v>6.3193346116955897</v>
      </c>
      <c r="K156">
        <f t="shared" si="3"/>
        <v>6.3193336116955896</v>
      </c>
      <c r="L156" cm="1">
        <f t="array" ref="L156">jstss(K156,Navg,Lspan,EI,meff)</f>
        <v>17</v>
      </c>
      <c r="M156">
        <f t="shared" si="4"/>
        <v>6.3193356116955899</v>
      </c>
      <c r="N156" cm="1">
        <f t="array" ref="N156">jstss(M156,Navg,Lspan,EI,meff)</f>
        <v>19</v>
      </c>
    </row>
    <row r="157" spans="1:14" x14ac:dyDescent="0.2">
      <c r="F157">
        <f t="shared" si="0"/>
        <v>6.7284813852913707</v>
      </c>
      <c r="G157">
        <v>19</v>
      </c>
      <c r="H157">
        <f t="shared" si="1"/>
        <v>1.5707963267948966</v>
      </c>
      <c r="J157">
        <f>AVERAGE(F157:F158)</f>
        <v>7.1566962832637042</v>
      </c>
      <c r="K157">
        <f t="shared" si="3"/>
        <v>7.1566952832637041</v>
      </c>
      <c r="L157" cm="1">
        <f t="array" ref="L157">jstss(K157,Navg,Lspan,EI,meff)</f>
        <v>19</v>
      </c>
      <c r="M157">
        <f t="shared" si="4"/>
        <v>7.1566972832637044</v>
      </c>
      <c r="N157" cm="1">
        <f t="array" ref="N157">jstss(M157,Navg,Lspan,EI,meff)</f>
        <v>21</v>
      </c>
    </row>
    <row r="158" spans="1:14" x14ac:dyDescent="0.2">
      <c r="C158" s="5" t="s">
        <v>354</v>
      </c>
      <c r="F158">
        <f t="shared" si="0"/>
        <v>7.5849111812360386</v>
      </c>
      <c r="G158">
        <v>21</v>
      </c>
      <c r="H158">
        <f t="shared" si="1"/>
        <v>1.7361433085627804</v>
      </c>
    </row>
    <row r="163" spans="1:8" x14ac:dyDescent="0.2">
      <c r="A163" s="24" t="s">
        <v>557</v>
      </c>
    </row>
    <row r="166" spans="1:8" x14ac:dyDescent="0.2">
      <c r="C166" t="str">
        <f>'c'!F15</f>
        <v>TestSeries</v>
      </c>
      <c r="D166" t="str">
        <f>m!AE3</f>
        <v>TestSeries</v>
      </c>
      <c r="E166" t="b">
        <f>C166=D166</f>
        <v>1</v>
      </c>
      <c r="G166" s="5" t="s">
        <v>556</v>
      </c>
      <c r="H166" t="b">
        <f>AND(E166:E229)</f>
        <v>1</v>
      </c>
    </row>
    <row r="167" spans="1:8" x14ac:dyDescent="0.2">
      <c r="C167" t="str">
        <f>'c'!F16</f>
        <v>TestID</v>
      </c>
      <c r="D167" t="str">
        <f>m!AE4</f>
        <v>TestID</v>
      </c>
      <c r="E167" t="b">
        <f t="shared" ref="E167:E229" si="5">C167=D167</f>
        <v>1</v>
      </c>
    </row>
    <row r="168" spans="1:8" x14ac:dyDescent="0.2">
      <c r="C168" t="str">
        <f>'c'!F17</f>
        <v>pctGap</v>
      </c>
      <c r="D168" t="str">
        <f>m!AE5</f>
        <v>pctGap</v>
      </c>
      <c r="E168" t="b">
        <f t="shared" si="5"/>
        <v>1</v>
      </c>
    </row>
    <row r="169" spans="1:8" x14ac:dyDescent="0.2">
      <c r="C169" t="str">
        <f>'c'!F18</f>
        <v>starttime</v>
      </c>
      <c r="D169" t="str">
        <f>m!AE6</f>
        <v>starttime</v>
      </c>
      <c r="E169" t="b">
        <f t="shared" si="5"/>
        <v>1</v>
      </c>
    </row>
    <row r="170" spans="1:8" x14ac:dyDescent="0.2">
      <c r="C170" t="str">
        <f>'c'!F19</f>
        <v>stoptime</v>
      </c>
      <c r="D170" t="str">
        <f>m!AE7</f>
        <v>stoptime</v>
      </c>
      <c r="E170" t="b">
        <f t="shared" si="5"/>
        <v>1</v>
      </c>
    </row>
    <row r="171" spans="1:8" x14ac:dyDescent="0.2">
      <c r="C171" t="str">
        <f>'c'!F20</f>
        <v>startdatum</v>
      </c>
      <c r="D171" t="str">
        <f>m!AE8</f>
        <v>startdatum</v>
      </c>
      <c r="E171" t="b">
        <f t="shared" si="5"/>
        <v>1</v>
      </c>
    </row>
    <row r="172" spans="1:8" x14ac:dyDescent="0.2">
      <c r="C172" t="str">
        <f>'c'!F21</f>
        <v>stopdatum</v>
      </c>
      <c r="D172" t="str">
        <f>m!AE9</f>
        <v>stopdatum</v>
      </c>
      <c r="E172" t="b">
        <f t="shared" si="5"/>
        <v>1</v>
      </c>
    </row>
    <row r="173" spans="1:8" x14ac:dyDescent="0.2">
      <c r="C173" t="str">
        <f>'c'!F22</f>
        <v>fs</v>
      </c>
      <c r="D173" t="str">
        <f>m!AE10</f>
        <v>fs</v>
      </c>
      <c r="E173" t="b">
        <f t="shared" si="5"/>
        <v>1</v>
      </c>
    </row>
    <row r="174" spans="1:8" x14ac:dyDescent="0.2">
      <c r="C174" t="str">
        <f>'c'!F23</f>
        <v>ipf</v>
      </c>
      <c r="D174" t="str">
        <f>m!AE11</f>
        <v>ipf</v>
      </c>
      <c r="E174" t="b">
        <f t="shared" si="5"/>
        <v>1</v>
      </c>
    </row>
    <row r="175" spans="1:8" x14ac:dyDescent="0.2">
      <c r="C175" t="str">
        <f>'c'!F24</f>
        <v>nu</v>
      </c>
      <c r="D175" t="str">
        <f>m!AE12</f>
        <v>nu</v>
      </c>
      <c r="E175" t="b">
        <f t="shared" si="5"/>
        <v>1</v>
      </c>
    </row>
    <row r="176" spans="1:8" x14ac:dyDescent="0.2">
      <c r="C176" t="str">
        <f>'c'!F25</f>
        <v>Lspan</v>
      </c>
      <c r="D176" t="str">
        <f>m!AE13</f>
        <v>Lspan</v>
      </c>
      <c r="E176" t="b">
        <f t="shared" si="5"/>
        <v>1</v>
      </c>
    </row>
    <row r="177" spans="3:5" x14ac:dyDescent="0.2">
      <c r="C177" t="str">
        <f>'c'!F26</f>
        <v>Lu</v>
      </c>
      <c r="D177" t="str">
        <f>m!AE14</f>
        <v>Lu</v>
      </c>
      <c r="E177" t="b">
        <f t="shared" si="5"/>
        <v>1</v>
      </c>
    </row>
    <row r="178" spans="3:5" x14ac:dyDescent="0.2">
      <c r="C178" t="str">
        <f>'c'!F27</f>
        <v>Uc</v>
      </c>
      <c r="D178" t="str">
        <f>m!AE15</f>
        <v>Uc</v>
      </c>
      <c r="E178" t="b">
        <f t="shared" si="5"/>
        <v>1</v>
      </c>
    </row>
    <row r="179" spans="3:5" x14ac:dyDescent="0.2">
      <c r="C179" t="str">
        <f>'c'!F28</f>
        <v>stdU</v>
      </c>
      <c r="D179" t="str">
        <f>m!AE16</f>
        <v>stdU</v>
      </c>
      <c r="E179" t="b">
        <f t="shared" si="5"/>
        <v>1</v>
      </c>
    </row>
    <row r="180" spans="3:5" x14ac:dyDescent="0.2">
      <c r="C180" t="str">
        <f>'c'!F29</f>
        <v>Epipe</v>
      </c>
      <c r="D180" t="str">
        <f>m!AE17</f>
        <v>Epipe</v>
      </c>
      <c r="E180" t="b">
        <f t="shared" si="5"/>
        <v>1</v>
      </c>
    </row>
    <row r="181" spans="3:5" x14ac:dyDescent="0.2">
      <c r="C181" t="str">
        <f>'c'!F30</f>
        <v>EI</v>
      </c>
      <c r="D181" t="str">
        <f>m!AE18</f>
        <v>EI</v>
      </c>
      <c r="E181" t="b">
        <f t="shared" si="5"/>
        <v>1</v>
      </c>
    </row>
    <row r="182" spans="3:5" x14ac:dyDescent="0.2">
      <c r="C182" t="str">
        <f>'c'!F31</f>
        <v>ro_w</v>
      </c>
      <c r="D182" t="str">
        <f>m!AE19</f>
        <v>ro_w</v>
      </c>
      <c r="E182" t="b">
        <f t="shared" si="5"/>
        <v>1</v>
      </c>
    </row>
    <row r="183" spans="3:5" x14ac:dyDescent="0.2">
      <c r="C183" t="str">
        <f>'c'!F32</f>
        <v>Dc</v>
      </c>
      <c r="D183" t="str">
        <f>m!AE20</f>
        <v>Dc</v>
      </c>
      <c r="E183" t="b">
        <f t="shared" si="5"/>
        <v>1</v>
      </c>
    </row>
    <row r="184" spans="3:5" x14ac:dyDescent="0.2">
      <c r="C184" t="str">
        <f>'c'!F33</f>
        <v>m_air</v>
      </c>
      <c r="D184" t="str">
        <f>m!AE21</f>
        <v>m_air</v>
      </c>
      <c r="E184" t="b">
        <f t="shared" si="5"/>
        <v>1</v>
      </c>
    </row>
    <row r="185" spans="3:5" x14ac:dyDescent="0.2">
      <c r="C185" t="str">
        <f>'c'!F34</f>
        <v>m_sub</v>
      </c>
      <c r="D185" t="str">
        <f>m!AE22</f>
        <v>m_sub</v>
      </c>
      <c r="E185" t="b">
        <f t="shared" si="5"/>
        <v>1</v>
      </c>
    </row>
    <row r="186" spans="3:5" x14ac:dyDescent="0.2">
      <c r="C186" t="str">
        <f>'c'!F35</f>
        <v>mratio</v>
      </c>
      <c r="D186" t="str">
        <f>m!AE23</f>
        <v>mratio</v>
      </c>
      <c r="E186" t="b">
        <f t="shared" si="5"/>
        <v>1</v>
      </c>
    </row>
    <row r="187" spans="3:5" x14ac:dyDescent="0.2">
      <c r="C187" t="str">
        <f>'c'!F36</f>
        <v>EA</v>
      </c>
      <c r="D187" t="str">
        <f>m!AE24</f>
        <v>EA</v>
      </c>
      <c r="E187" t="b">
        <f t="shared" si="5"/>
        <v>1</v>
      </c>
    </row>
    <row r="188" spans="3:5" x14ac:dyDescent="0.2">
      <c r="C188" t="str">
        <f>'c'!F37</f>
        <v>N_g</v>
      </c>
      <c r="D188" t="str">
        <f>m!AE25</f>
        <v>N_g</v>
      </c>
      <c r="E188" t="b">
        <f t="shared" si="5"/>
        <v>1</v>
      </c>
    </row>
    <row r="189" spans="3:5" x14ac:dyDescent="0.2">
      <c r="C189" t="str">
        <f>'c'!F38</f>
        <v>Navg</v>
      </c>
      <c r="D189" t="str">
        <f>m!AE26</f>
        <v>Navg</v>
      </c>
      <c r="E189" t="b">
        <f t="shared" si="5"/>
        <v>1</v>
      </c>
    </row>
    <row r="190" spans="3:5" x14ac:dyDescent="0.2">
      <c r="C190" t="str">
        <f>'c'!F39</f>
        <v>Nstd</v>
      </c>
      <c r="D190" t="str">
        <f>m!AE27</f>
        <v>Nstd</v>
      </c>
      <c r="E190" t="b">
        <f t="shared" si="5"/>
        <v>1</v>
      </c>
    </row>
    <row r="191" spans="3:5" x14ac:dyDescent="0.2">
      <c r="C191" t="str">
        <f>'c'!F40</f>
        <v>fpN</v>
      </c>
      <c r="D191" t="str">
        <f>m!AE28</f>
        <v>fpN</v>
      </c>
      <c r="E191" t="b">
        <f t="shared" si="5"/>
        <v>1</v>
      </c>
    </row>
    <row r="192" spans="3:5" x14ac:dyDescent="0.2">
      <c r="C192" t="str">
        <f>'c'!F41</f>
        <v>DispCF_max</v>
      </c>
      <c r="D192" t="str">
        <f>m!AE29</f>
        <v>DispCF_max</v>
      </c>
      <c r="E192" t="b">
        <f t="shared" si="5"/>
        <v>1</v>
      </c>
    </row>
    <row r="193" spans="3:5" x14ac:dyDescent="0.2">
      <c r="C193" t="str">
        <f>'c'!F42</f>
        <v>DispCF_maxloc</v>
      </c>
      <c r="D193" t="str">
        <f>m!AE30</f>
        <v>DispCF_maxloc</v>
      </c>
      <c r="E193" t="b">
        <f t="shared" si="5"/>
        <v>1</v>
      </c>
    </row>
    <row r="194" spans="3:5" x14ac:dyDescent="0.2">
      <c r="C194" t="str">
        <f>'c'!F43</f>
        <v>DispCF_rms</v>
      </c>
      <c r="D194" t="str">
        <f>m!AE31</f>
        <v>DispCF_rms</v>
      </c>
      <c r="E194" t="b">
        <f t="shared" si="5"/>
        <v>1</v>
      </c>
    </row>
    <row r="195" spans="3:5" x14ac:dyDescent="0.2">
      <c r="C195" t="str">
        <f>'c'!F44</f>
        <v>DispCF_rmsloc</v>
      </c>
      <c r="D195" t="str">
        <f>m!AE32</f>
        <v>DispCF_rmsloc</v>
      </c>
      <c r="E195" t="b">
        <f t="shared" si="5"/>
        <v>1</v>
      </c>
    </row>
    <row r="196" spans="3:5" x14ac:dyDescent="0.2">
      <c r="C196" t="str">
        <f>'c'!F45</f>
        <v>DispIL_max</v>
      </c>
      <c r="D196" t="str">
        <f>m!AE33</f>
        <v>DispIL_max</v>
      </c>
      <c r="E196" t="b">
        <f t="shared" si="5"/>
        <v>1</v>
      </c>
    </row>
    <row r="197" spans="3:5" x14ac:dyDescent="0.2">
      <c r="C197" t="str">
        <f>'c'!F46</f>
        <v>DispIL_maxloc</v>
      </c>
      <c r="D197" t="str">
        <f>m!AE34</f>
        <v>DispIL_maxloc</v>
      </c>
      <c r="E197" t="b">
        <f t="shared" si="5"/>
        <v>1</v>
      </c>
    </row>
    <row r="198" spans="3:5" x14ac:dyDescent="0.2">
      <c r="C198" t="str">
        <f>'c'!F47</f>
        <v>DispIL_rms</v>
      </c>
      <c r="D198" t="str">
        <f>m!AE35</f>
        <v>DispIL_rms</v>
      </c>
      <c r="E198" t="b">
        <f t="shared" si="5"/>
        <v>1</v>
      </c>
    </row>
    <row r="199" spans="3:5" x14ac:dyDescent="0.2">
      <c r="C199" t="str">
        <f>'c'!F48</f>
        <v>DispIL_rmsloc</v>
      </c>
      <c r="D199" t="str">
        <f>m!AE36</f>
        <v>DispIL_rmsloc</v>
      </c>
      <c r="E199" t="b">
        <f t="shared" si="5"/>
        <v>1</v>
      </c>
    </row>
    <row r="200" spans="3:5" x14ac:dyDescent="0.2">
      <c r="C200" t="str">
        <f>'c'!F49</f>
        <v>epsCF_max</v>
      </c>
      <c r="D200" t="str">
        <f>m!AE37</f>
        <v>epsCF_max</v>
      </c>
      <c r="E200" t="b">
        <f t="shared" si="5"/>
        <v>1</v>
      </c>
    </row>
    <row r="201" spans="3:5" x14ac:dyDescent="0.2">
      <c r="C201" t="str">
        <f>'c'!F50</f>
        <v>epsCF_maxloc</v>
      </c>
      <c r="D201" t="str">
        <f>m!AE38</f>
        <v>epsCF_maxloc</v>
      </c>
      <c r="E201" t="b">
        <f t="shared" si="5"/>
        <v>1</v>
      </c>
    </row>
    <row r="202" spans="3:5" x14ac:dyDescent="0.2">
      <c r="C202" t="str">
        <f>'c'!F51</f>
        <v>epsCF_rms</v>
      </c>
      <c r="D202" t="str">
        <f>m!AE39</f>
        <v>epsCF_rms</v>
      </c>
      <c r="E202" t="b">
        <f t="shared" si="5"/>
        <v>1</v>
      </c>
    </row>
    <row r="203" spans="3:5" x14ac:dyDescent="0.2">
      <c r="C203" t="str">
        <f>'c'!F52</f>
        <v>epsCF_rmsloc</v>
      </c>
      <c r="D203" t="str">
        <f>m!AE40</f>
        <v>epsCF_rmsloc</v>
      </c>
      <c r="E203" t="b">
        <f t="shared" si="5"/>
        <v>1</v>
      </c>
    </row>
    <row r="204" spans="3:5" x14ac:dyDescent="0.2">
      <c r="C204" t="str">
        <f>'c'!F53</f>
        <v>epsIL_max</v>
      </c>
      <c r="D204" t="str">
        <f>m!AE41</f>
        <v>epsIL_max</v>
      </c>
      <c r="E204" t="b">
        <f t="shared" si="5"/>
        <v>1</v>
      </c>
    </row>
    <row r="205" spans="3:5" x14ac:dyDescent="0.2">
      <c r="C205" t="str">
        <f>'c'!F54</f>
        <v>epsIL_maxloc</v>
      </c>
      <c r="D205" t="str">
        <f>m!AE42</f>
        <v>epsIL_maxloc</v>
      </c>
      <c r="E205" t="b">
        <f t="shared" si="5"/>
        <v>1</v>
      </c>
    </row>
    <row r="206" spans="3:5" x14ac:dyDescent="0.2">
      <c r="C206" t="str">
        <f>'c'!F55</f>
        <v>epsIL_rms</v>
      </c>
      <c r="D206" t="str">
        <f>m!AE43</f>
        <v>epsIL_rms</v>
      </c>
      <c r="E206" t="b">
        <f t="shared" si="5"/>
        <v>1</v>
      </c>
    </row>
    <row r="207" spans="3:5" x14ac:dyDescent="0.2">
      <c r="C207" t="str">
        <f>'c'!F56</f>
        <v>epsIL_rmsloc</v>
      </c>
      <c r="D207" t="str">
        <f>m!AE44</f>
        <v>epsIL_rmsloc</v>
      </c>
      <c r="E207" t="b">
        <f t="shared" si="5"/>
        <v>1</v>
      </c>
    </row>
    <row r="208" spans="3:5" x14ac:dyDescent="0.2">
      <c r="C208" t="str">
        <f>'c'!F57</f>
        <v>lambdaCF</v>
      </c>
      <c r="D208" t="str">
        <f>m!AE45</f>
        <v>lambdaCF</v>
      </c>
      <c r="E208" t="b">
        <f t="shared" si="5"/>
        <v>1</v>
      </c>
    </row>
    <row r="209" spans="3:5" x14ac:dyDescent="0.2">
      <c r="C209" t="str">
        <f>'c'!F58</f>
        <v>lambdaIL</v>
      </c>
      <c r="D209" t="str">
        <f>m!AE46</f>
        <v>lambdaIL</v>
      </c>
      <c r="E209" t="b">
        <f t="shared" si="5"/>
        <v>1</v>
      </c>
    </row>
    <row r="210" spans="3:5" x14ac:dyDescent="0.2">
      <c r="C210" t="str">
        <f>'c'!F59</f>
        <v>FzcCF_rmseps</v>
      </c>
      <c r="D210" t="str">
        <f>m!AE47</f>
        <v>FzcCF_rmseps</v>
      </c>
      <c r="E210" t="b">
        <f t="shared" si="5"/>
        <v>1</v>
      </c>
    </row>
    <row r="211" spans="3:5" x14ac:dyDescent="0.2">
      <c r="C211" t="str">
        <f>'c'!F60</f>
        <v>FzcIL_rmseps</v>
      </c>
      <c r="D211" t="str">
        <f>m!AE48</f>
        <v>FzcIL_rmseps</v>
      </c>
      <c r="E211" t="b">
        <f t="shared" si="5"/>
        <v>1</v>
      </c>
    </row>
    <row r="212" spans="3:5" x14ac:dyDescent="0.2">
      <c r="C212" t="str">
        <f>'c'!F61</f>
        <v>FzsCF_rmseps</v>
      </c>
      <c r="D212" t="str">
        <f>m!AE49</f>
        <v>FzsCF_rmseps</v>
      </c>
      <c r="E212" t="b">
        <f t="shared" si="5"/>
        <v>1</v>
      </c>
    </row>
    <row r="213" spans="3:5" x14ac:dyDescent="0.2">
      <c r="C213" t="str">
        <f>'c'!F62</f>
        <v>FzsIL_rmseps</v>
      </c>
      <c r="D213" t="str">
        <f>m!AE50</f>
        <v>FzsIL_rmseps</v>
      </c>
      <c r="E213" t="b">
        <f t="shared" si="5"/>
        <v>1</v>
      </c>
    </row>
    <row r="214" spans="3:5" x14ac:dyDescent="0.2">
      <c r="C214" t="str">
        <f>'c'!F63</f>
        <v>FpCF_rmseps</v>
      </c>
      <c r="D214" t="str">
        <f>m!AE51</f>
        <v>FpCF_rmseps</v>
      </c>
      <c r="E214" t="b">
        <f t="shared" si="5"/>
        <v>1</v>
      </c>
    </row>
    <row r="215" spans="3:5" x14ac:dyDescent="0.2">
      <c r="C215" t="str">
        <f>'c'!F64</f>
        <v>FpIL_rmseps</v>
      </c>
      <c r="D215" t="str">
        <f>m!AE52</f>
        <v>FpIL_rmseps</v>
      </c>
      <c r="E215" t="b">
        <f t="shared" si="5"/>
        <v>1</v>
      </c>
    </row>
    <row r="216" spans="3:5" x14ac:dyDescent="0.2">
      <c r="C216" t="str">
        <f>'c'!F65</f>
        <v>FfatCF_rmseps</v>
      </c>
      <c r="D216" t="str">
        <f>m!AE53</f>
        <v>FfatCF_rmseps</v>
      </c>
      <c r="E216" t="b">
        <f t="shared" si="5"/>
        <v>1</v>
      </c>
    </row>
    <row r="217" spans="3:5" x14ac:dyDescent="0.2">
      <c r="C217" t="str">
        <f>'c'!F66</f>
        <v>FfatIL_rmseps</v>
      </c>
      <c r="D217" t="str">
        <f>m!AE54</f>
        <v>FfatIL_rmseps</v>
      </c>
      <c r="E217" t="b">
        <f t="shared" si="5"/>
        <v>1</v>
      </c>
    </row>
    <row r="218" spans="3:5" x14ac:dyDescent="0.2">
      <c r="C218" t="str">
        <f>'c'!F67</f>
        <v>FDR_CF</v>
      </c>
      <c r="D218" t="str">
        <f>m!AE55</f>
        <v>FDR_CF</v>
      </c>
      <c r="E218" t="b">
        <f t="shared" si="5"/>
        <v>1</v>
      </c>
    </row>
    <row r="219" spans="3:5" x14ac:dyDescent="0.2">
      <c r="C219" t="str">
        <f>'c'!F68</f>
        <v>FDR_IL</v>
      </c>
      <c r="D219" t="str">
        <f>m!AE56</f>
        <v>FDR_IL</v>
      </c>
      <c r="E219" t="b">
        <f t="shared" si="5"/>
        <v>1</v>
      </c>
    </row>
    <row r="220" spans="3:5" x14ac:dyDescent="0.2">
      <c r="C220" t="str">
        <f>'c'!F69</f>
        <v>Nfail_CF</v>
      </c>
      <c r="D220" t="str">
        <f>m!AE57</f>
        <v>Nfail_CF</v>
      </c>
      <c r="E220" t="b">
        <f t="shared" si="5"/>
        <v>1</v>
      </c>
    </row>
    <row r="221" spans="3:5" x14ac:dyDescent="0.2">
      <c r="C221" t="str">
        <f>'c'!F70</f>
        <v>Nfail_IL</v>
      </c>
      <c r="D221" t="str">
        <f>m!AE58</f>
        <v>Nfail_IL</v>
      </c>
      <c r="E221" t="b">
        <f t="shared" si="5"/>
        <v>1</v>
      </c>
    </row>
    <row r="222" spans="3:5" x14ac:dyDescent="0.2">
      <c r="C222" t="str">
        <f>'c'!F71</f>
        <v>nlCF</v>
      </c>
      <c r="D222" t="str">
        <f>m!AE59</f>
        <v>nlCF</v>
      </c>
      <c r="E222" t="b">
        <f t="shared" si="5"/>
        <v>1</v>
      </c>
    </row>
    <row r="223" spans="3:5" x14ac:dyDescent="0.2">
      <c r="C223" t="str">
        <f>'c'!F72</f>
        <v>nlIL</v>
      </c>
      <c r="D223" t="str">
        <f>m!AE60</f>
        <v>nlIL</v>
      </c>
      <c r="E223" t="b">
        <f t="shared" si="5"/>
        <v>1</v>
      </c>
    </row>
    <row r="224" spans="3:5" x14ac:dyDescent="0.2">
      <c r="C224" t="str">
        <f>'c'!F73</f>
        <v>kxend</v>
      </c>
      <c r="D224" t="str">
        <f>m!AE61</f>
        <v>kxend</v>
      </c>
      <c r="E224" t="b">
        <f t="shared" si="5"/>
        <v>1</v>
      </c>
    </row>
    <row r="225" spans="1:5" x14ac:dyDescent="0.2">
      <c r="C225" t="str">
        <f>'c'!F74</f>
        <v>krough</v>
      </c>
      <c r="D225" t="str">
        <f>m!AE62</f>
        <v>krough</v>
      </c>
      <c r="E225" t="b">
        <f t="shared" si="5"/>
        <v>1</v>
      </c>
    </row>
    <row r="226" spans="1:5" x14ac:dyDescent="0.2">
      <c r="C226" t="str">
        <f>'c'!F75</f>
        <v>AoDmax</v>
      </c>
      <c r="D226" t="str">
        <f>m!AE63</f>
        <v>AoDmax</v>
      </c>
      <c r="E226" t="b">
        <f t="shared" si="5"/>
        <v>1</v>
      </c>
    </row>
    <row r="227" spans="1:5" x14ac:dyDescent="0.2">
      <c r="C227" t="str">
        <f>'c'!F76</f>
        <v>AmbBeh</v>
      </c>
      <c r="D227" t="str">
        <f>m!AE64</f>
        <v>AmbBeh</v>
      </c>
      <c r="E227" t="b">
        <f t="shared" si="5"/>
        <v>1</v>
      </c>
    </row>
    <row r="228" spans="1:5" x14ac:dyDescent="0.2">
      <c r="C228" t="str">
        <f>'c'!F77</f>
        <v>ExcDisp</v>
      </c>
      <c r="D228" t="str">
        <f>m!AE65</f>
        <v>ExcDisp</v>
      </c>
      <c r="E228" t="b">
        <f t="shared" si="5"/>
        <v>1</v>
      </c>
    </row>
    <row r="229" spans="1:5" x14ac:dyDescent="0.2">
      <c r="C229" t="str">
        <f>'c'!F78</f>
        <v>m_clump</v>
      </c>
      <c r="D229" t="str">
        <f>m!AE66</f>
        <v>m_clump</v>
      </c>
      <c r="E229" t="b">
        <f t="shared" si="5"/>
        <v>1</v>
      </c>
    </row>
    <row r="232" spans="1:5" x14ac:dyDescent="0.2">
      <c r="A232" s="24" t="s">
        <v>569</v>
      </c>
    </row>
    <row r="233" spans="1:5" ht="16.5" x14ac:dyDescent="0.25">
      <c r="C233" s="11" t="s">
        <v>570</v>
      </c>
    </row>
    <row r="235" spans="1:5" x14ac:dyDescent="0.2">
      <c r="C235" s="5" t="s">
        <v>327</v>
      </c>
      <c r="D235">
        <v>1</v>
      </c>
    </row>
    <row r="236" spans="1:5" x14ac:dyDescent="0.2">
      <c r="C236" s="5" t="s">
        <v>571</v>
      </c>
      <c r="D236">
        <v>3</v>
      </c>
    </row>
    <row r="237" spans="1:5" x14ac:dyDescent="0.2">
      <c r="C237" s="5" t="s">
        <v>572</v>
      </c>
      <c r="D237">
        <f>D235*PI()/D236</f>
        <v>1.0471975511965976</v>
      </c>
    </row>
    <row r="238" spans="1:5" x14ac:dyDescent="0.2">
      <c r="C238" s="5" t="s">
        <v>573</v>
      </c>
      <c r="D238">
        <f>2/(D237*(1+D237^2))</f>
        <v>0.91092179192333156</v>
      </c>
    </row>
    <row r="240" spans="1:5" x14ac:dyDescent="0.2">
      <c r="D240" s="5" t="s">
        <v>574</v>
      </c>
    </row>
    <row r="241" spans="4:12" x14ac:dyDescent="0.2">
      <c r="D241">
        <f>D238</f>
        <v>0.91092179192333156</v>
      </c>
      <c r="E241">
        <v>1</v>
      </c>
      <c r="F241">
        <v>3</v>
      </c>
      <c r="G241">
        <v>5</v>
      </c>
      <c r="K241" s="64" t="s">
        <v>575</v>
      </c>
      <c r="L241" s="65" t="s">
        <v>576</v>
      </c>
    </row>
    <row r="242" spans="4:12" x14ac:dyDescent="0.2">
      <c r="D242">
        <v>0.2</v>
      </c>
      <c r="E242">
        <f t="dataTable" ref="E242:G269" dt2D="1" dtr="1" r1="D235" r2="D236"/>
        <v>5.1394162398458456E-4</v>
      </c>
      <c r="F242">
        <v>1.9103417823056979E-5</v>
      </c>
      <c r="G242">
        <v>4.1275272779306305E-6</v>
      </c>
      <c r="J242">
        <f t="shared" ref="J242:J269" si="6">D242</f>
        <v>0.2</v>
      </c>
      <c r="K242">
        <f>F242/E242</f>
        <v>3.7170404052795647E-2</v>
      </c>
      <c r="L242">
        <f>G242/E242</f>
        <v>8.0311208224972137E-3</v>
      </c>
    </row>
    <row r="243" spans="4:12" x14ac:dyDescent="0.2">
      <c r="D243">
        <v>0.5</v>
      </c>
      <c r="E243">
        <v>7.8636939144954409E-3</v>
      </c>
      <c r="F243">
        <v>2.9778720349448779E-4</v>
      </c>
      <c r="G243">
        <v>6.4437779745248248E-5</v>
      </c>
      <c r="J243">
        <f t="shared" si="6"/>
        <v>0.5</v>
      </c>
      <c r="K243">
        <f t="shared" ref="K243:K269" si="7">F243/E243</f>
        <v>3.7868615784442665E-2</v>
      </c>
      <c r="L243">
        <f t="shared" ref="L243:L269" si="8">G243/E243</f>
        <v>8.1943397652428553E-3</v>
      </c>
    </row>
    <row r="244" spans="4:12" x14ac:dyDescent="0.2">
      <c r="D244">
        <v>1</v>
      </c>
      <c r="E244">
        <v>5.8568807923108868E-2</v>
      </c>
      <c r="F244">
        <v>2.3624067892593198E-3</v>
      </c>
      <c r="G244">
        <v>5.1394162398458456E-4</v>
      </c>
      <c r="J244">
        <f t="shared" si="6"/>
        <v>1</v>
      </c>
      <c r="K244">
        <f t="shared" si="7"/>
        <v>4.0335579176560471E-2</v>
      </c>
      <c r="L244">
        <f t="shared" si="8"/>
        <v>8.7750057105363093E-3</v>
      </c>
    </row>
    <row r="245" spans="4:12" x14ac:dyDescent="0.2">
      <c r="D245">
        <v>1.5</v>
      </c>
      <c r="E245">
        <v>0.17728233204934177</v>
      </c>
      <c r="F245">
        <v>7.8636939144954409E-3</v>
      </c>
      <c r="G245">
        <v>1.7258450397934107E-3</v>
      </c>
      <c r="J245">
        <f t="shared" si="6"/>
        <v>1.5</v>
      </c>
      <c r="K245">
        <f t="shared" si="7"/>
        <v>4.4356895713142996E-2</v>
      </c>
      <c r="L245">
        <f t="shared" si="8"/>
        <v>9.7350086714397925E-3</v>
      </c>
    </row>
    <row r="246" spans="4:12" x14ac:dyDescent="0.2">
      <c r="D246">
        <v>2</v>
      </c>
      <c r="E246">
        <v>0.36720284383458229</v>
      </c>
      <c r="F246">
        <v>1.8288461061844348E-2</v>
      </c>
      <c r="G246">
        <v>4.0623402282047999E-3</v>
      </c>
      <c r="J246">
        <f t="shared" si="6"/>
        <v>2</v>
      </c>
      <c r="K246">
        <f t="shared" si="7"/>
        <v>4.9804791463115526E-2</v>
      </c>
      <c r="L246">
        <f t="shared" si="8"/>
        <v>1.1062932372154517E-2</v>
      </c>
    </row>
    <row r="247" spans="4:12" x14ac:dyDescent="0.2">
      <c r="D247">
        <v>2.5</v>
      </c>
      <c r="E247">
        <v>0.61708610805431618</v>
      </c>
      <c r="F247">
        <v>3.4874338949680624E-2</v>
      </c>
      <c r="G247">
        <v>7.8636939144954409E-3</v>
      </c>
      <c r="J247">
        <f t="shared" si="6"/>
        <v>2.5</v>
      </c>
      <c r="K247">
        <f t="shared" si="7"/>
        <v>5.6514542289146735E-2</v>
      </c>
      <c r="L247">
        <f t="shared" si="8"/>
        <v>1.2743268422116667E-2</v>
      </c>
    </row>
    <row r="248" spans="4:12" x14ac:dyDescent="0.2">
      <c r="D248">
        <v>3</v>
      </c>
      <c r="E248">
        <v>0.91092179192333156</v>
      </c>
      <c r="F248">
        <v>5.8568807923108868E-2</v>
      </c>
      <c r="G248">
        <v>1.344234492750805E-2</v>
      </c>
      <c r="J248">
        <f t="shared" si="6"/>
        <v>3</v>
      </c>
      <c r="K248">
        <f t="shared" si="7"/>
        <v>6.4296198029740792E-2</v>
      </c>
      <c r="L248">
        <f t="shared" si="8"/>
        <v>1.4756859531404685E-2</v>
      </c>
    </row>
    <row r="249" spans="4:12" x14ac:dyDescent="0.2">
      <c r="D249">
        <v>3.5</v>
      </c>
      <c r="E249">
        <v>1.2339765325511793</v>
      </c>
      <c r="F249">
        <v>9.0014622747002268E-2</v>
      </c>
      <c r="G249">
        <v>2.107808111853372E-2</v>
      </c>
      <c r="J249">
        <f t="shared" si="6"/>
        <v>3.5</v>
      </c>
      <c r="K249">
        <f t="shared" si="7"/>
        <v>7.2946786565626115E-2</v>
      </c>
      <c r="L249">
        <f t="shared" si="8"/>
        <v>1.7081427857429294E-2</v>
      </c>
    </row>
    <row r="250" spans="4:12" x14ac:dyDescent="0.2">
      <c r="D250">
        <v>4</v>
      </c>
      <c r="E250">
        <v>1.57496283282204</v>
      </c>
      <c r="F250">
        <v>0.12955912516977419</v>
      </c>
      <c r="G250">
        <v>3.1014423665501223E-2</v>
      </c>
      <c r="J250">
        <f t="shared" si="6"/>
        <v>4</v>
      </c>
      <c r="K250">
        <f t="shared" si="7"/>
        <v>8.226170324135737E-2</v>
      </c>
      <c r="L250">
        <f t="shared" si="8"/>
        <v>1.9692162265143205E-2</v>
      </c>
    </row>
    <row r="251" spans="4:12" x14ac:dyDescent="0.2">
      <c r="D251">
        <v>4.5</v>
      </c>
      <c r="E251">
        <v>1.9260537417582317</v>
      </c>
      <c r="F251">
        <v>0.17728233204934177</v>
      </c>
      <c r="G251">
        <v>4.3456273905485426E-2</v>
      </c>
      <c r="J251">
        <f t="shared" si="6"/>
        <v>4.5</v>
      </c>
      <c r="K251">
        <f t="shared" si="7"/>
        <v>9.2044333034812673E-2</v>
      </c>
      <c r="L251">
        <f t="shared" si="8"/>
        <v>2.2562337157744937E-2</v>
      </c>
    </row>
    <row r="252" spans="4:12" x14ac:dyDescent="0.2">
      <c r="D252">
        <v>5</v>
      </c>
      <c r="E252">
        <v>2.2821443751011294</v>
      </c>
      <c r="F252">
        <v>0.23303745544163071</v>
      </c>
      <c r="G252">
        <v>5.8568807923108868E-2</v>
      </c>
      <c r="J252">
        <f t="shared" si="6"/>
        <v>5</v>
      </c>
      <c r="K252">
        <f t="shared" si="7"/>
        <v>0.10211337108385356</v>
      </c>
      <c r="L252">
        <f t="shared" si="8"/>
        <v>2.566393632327205E-2</v>
      </c>
    </row>
    <row r="253" spans="4:12" x14ac:dyDescent="0.2">
      <c r="D253">
        <v>5.5</v>
      </c>
      <c r="E253">
        <v>2.6400463366677762</v>
      </c>
      <c r="F253">
        <v>0.29649754106055082</v>
      </c>
      <c r="G253">
        <v>7.6477542549979419E-2</v>
      </c>
      <c r="J253">
        <f t="shared" si="6"/>
        <v>5.5</v>
      </c>
      <c r="K253">
        <f t="shared" si="7"/>
        <v>0.11230770344538166</v>
      </c>
      <c r="L253">
        <f t="shared" si="8"/>
        <v>2.8968257673275589E-2</v>
      </c>
    </row>
    <row r="254" spans="4:12" x14ac:dyDescent="0.2">
      <c r="D254">
        <v>6</v>
      </c>
      <c r="E254">
        <v>2.9978429643516145</v>
      </c>
      <c r="F254">
        <v>0.36720284383458229</v>
      </c>
      <c r="G254">
        <v>9.7269447067946879E-2</v>
      </c>
      <c r="J254">
        <f t="shared" si="6"/>
        <v>6</v>
      </c>
      <c r="K254">
        <f t="shared" si="7"/>
        <v>0.12248901900503731</v>
      </c>
      <c r="L254">
        <f t="shared" si="8"/>
        <v>3.2446478426192249E-2</v>
      </c>
    </row>
    <row r="255" spans="4:12" x14ac:dyDescent="0.2">
      <c r="D255">
        <v>6.5</v>
      </c>
      <c r="E255">
        <v>3.3544326937138624</v>
      </c>
      <c r="F255">
        <v>0.44460495851859655</v>
      </c>
      <c r="G255">
        <v>0.12099493990986138</v>
      </c>
      <c r="J255">
        <f t="shared" si="6"/>
        <v>6.5</v>
      </c>
      <c r="K255">
        <f t="shared" si="7"/>
        <v>0.13254251884432711</v>
      </c>
      <c r="L255">
        <f t="shared" si="8"/>
        <v>3.6070164751435735E-2</v>
      </c>
    </row>
    <row r="256" spans="4:12" x14ac:dyDescent="0.2">
      <c r="D256">
        <v>7</v>
      </c>
      <c r="E256">
        <v>3.7092245504887367</v>
      </c>
      <c r="F256">
        <v>0.52810520859972798</v>
      </c>
      <c r="G256">
        <v>0.14767058949289777</v>
      </c>
      <c r="J256">
        <f t="shared" si="6"/>
        <v>7</v>
      </c>
      <c r="K256">
        <f t="shared" si="7"/>
        <v>0.14237617631699961</v>
      </c>
      <c r="L256">
        <f t="shared" si="8"/>
        <v>3.9811714681291084E-2</v>
      </c>
    </row>
    <row r="257" spans="1:12" x14ac:dyDescent="0.2">
      <c r="D257">
        <v>8</v>
      </c>
      <c r="E257">
        <v>4.4124958580040108</v>
      </c>
      <c r="F257">
        <v>0.71093571741559469</v>
      </c>
      <c r="G257">
        <v>0.20978902493381671</v>
      </c>
      <c r="J257">
        <f t="shared" si="6"/>
        <v>8</v>
      </c>
      <c r="K257">
        <f t="shared" si="7"/>
        <v>0.16111872742633823</v>
      </c>
      <c r="L257">
        <f t="shared" si="8"/>
        <v>4.7544299572150672E-2</v>
      </c>
    </row>
    <row r="258" spans="1:12" x14ac:dyDescent="0.2">
      <c r="D258">
        <v>9</v>
      </c>
      <c r="E258">
        <v>5.1072723064523782</v>
      </c>
      <c r="F258">
        <v>0.91092179192333156</v>
      </c>
      <c r="G258">
        <v>0.28320965292737726</v>
      </c>
      <c r="J258">
        <f t="shared" si="6"/>
        <v>9</v>
      </c>
      <c r="K258">
        <f t="shared" si="7"/>
        <v>0.17835778812351549</v>
      </c>
      <c r="L258">
        <f t="shared" si="8"/>
        <v>5.5452232803326049E-2</v>
      </c>
    </row>
    <row r="259" spans="1:12" x14ac:dyDescent="0.2">
      <c r="D259">
        <v>10</v>
      </c>
      <c r="E259">
        <v>5.7943211485821031</v>
      </c>
      <c r="F259">
        <v>1.1238182069613922</v>
      </c>
      <c r="G259">
        <v>0.36720284383458229</v>
      </c>
      <c r="J259">
        <f t="shared" si="6"/>
        <v>10</v>
      </c>
      <c r="K259">
        <f t="shared" si="7"/>
        <v>0.19395166027971986</v>
      </c>
      <c r="L259">
        <f t="shared" si="8"/>
        <v>6.337288431526418E-2</v>
      </c>
    </row>
    <row r="260" spans="1:12" x14ac:dyDescent="0.2">
      <c r="D260">
        <v>11</v>
      </c>
      <c r="E260">
        <v>6.4746960984486437</v>
      </c>
      <c r="F260">
        <v>1.3460981031068286</v>
      </c>
      <c r="G260">
        <v>0.46083682139459775</v>
      </c>
      <c r="J260">
        <f t="shared" si="6"/>
        <v>11</v>
      </c>
      <c r="K260">
        <f t="shared" si="7"/>
        <v>0.20790135670295903</v>
      </c>
      <c r="L260">
        <f t="shared" si="8"/>
        <v>7.1175050440593746E-2</v>
      </c>
    </row>
    <row r="261" spans="1:12" x14ac:dyDescent="0.2">
      <c r="D261">
        <v>12</v>
      </c>
      <c r="E261">
        <v>7.149423506566138</v>
      </c>
      <c r="F261">
        <v>1.57496283282204</v>
      </c>
      <c r="G261">
        <v>0.56307450319062802</v>
      </c>
      <c r="J261">
        <f t="shared" si="6"/>
        <v>12</v>
      </c>
      <c r="K261">
        <f t="shared" si="7"/>
        <v>0.22029228389891442</v>
      </c>
      <c r="L261">
        <f t="shared" si="8"/>
        <v>7.8758028905895963E-2</v>
      </c>
    </row>
    <row r="262" spans="1:12" x14ac:dyDescent="0.2">
      <c r="D262">
        <v>13</v>
      </c>
      <c r="E262">
        <v>7.8194036632143318</v>
      </c>
      <c r="F262">
        <v>1.8082624911139256</v>
      </c>
      <c r="G262">
        <v>0.67284998784454753</v>
      </c>
      <c r="J262">
        <f t="shared" si="6"/>
        <v>13</v>
      </c>
      <c r="K262">
        <f t="shared" si="7"/>
        <v>0.23125324756166904</v>
      </c>
      <c r="L262">
        <f t="shared" si="8"/>
        <v>8.6048759831892127E-2</v>
      </c>
    </row>
    <row r="263" spans="1:12" x14ac:dyDescent="0.2">
      <c r="D263">
        <v>14</v>
      </c>
      <c r="E263">
        <v>8.4853937542583608</v>
      </c>
      <c r="F263">
        <v>2.0443849451731309</v>
      </c>
      <c r="G263">
        <v>0.78912419083474894</v>
      </c>
      <c r="J263">
        <f t="shared" si="6"/>
        <v>14</v>
      </c>
      <c r="K263">
        <f t="shared" si="7"/>
        <v>0.24092988544546498</v>
      </c>
      <c r="L263">
        <f t="shared" si="8"/>
        <v>9.2997946081020716E-2</v>
      </c>
    </row>
    <row r="264" spans="1:12" x14ac:dyDescent="0.2">
      <c r="D264">
        <v>15</v>
      </c>
      <c r="E264">
        <v>9.1480195456514402</v>
      </c>
      <c r="F264">
        <v>2.2821443751011294</v>
      </c>
      <c r="G264">
        <v>0.91092179192333156</v>
      </c>
      <c r="J264">
        <f t="shared" si="6"/>
        <v>15</v>
      </c>
      <c r="K264">
        <f t="shared" si="7"/>
        <v>0.24946868157774749</v>
      </c>
      <c r="L264">
        <f t="shared" si="8"/>
        <v>9.9575846704038046E-2</v>
      </c>
    </row>
    <row r="265" spans="1:12" x14ac:dyDescent="0.2">
      <c r="D265">
        <v>16</v>
      </c>
      <c r="E265">
        <v>9.8077950410751384</v>
      </c>
      <c r="F265">
        <v>2.5206831496334732</v>
      </c>
      <c r="G265">
        <v>1.0373529128106993</v>
      </c>
      <c r="J265">
        <f t="shared" si="6"/>
        <v>16</v>
      </c>
      <c r="K265">
        <f t="shared" si="7"/>
        <v>0.25700813884026208</v>
      </c>
      <c r="L265">
        <f t="shared" si="8"/>
        <v>0.10576820870198199</v>
      </c>
    </row>
    <row r="266" spans="1:12" x14ac:dyDescent="0.2">
      <c r="D266">
        <v>17</v>
      </c>
      <c r="E266">
        <v>10.465142308163495</v>
      </c>
      <c r="F266">
        <v>2.7593912740040425</v>
      </c>
      <c r="G266">
        <v>1.1676232124874624</v>
      </c>
      <c r="J266">
        <f t="shared" si="6"/>
        <v>17</v>
      </c>
      <c r="K266">
        <f t="shared" si="7"/>
        <v>0.26367451036490319</v>
      </c>
      <c r="L266">
        <f t="shared" si="8"/>
        <v>0.11157260724267838</v>
      </c>
    </row>
    <row r="267" spans="1:12" x14ac:dyDescent="0.2">
      <c r="D267">
        <v>18</v>
      </c>
      <c r="E267">
        <v>11.120408876716603</v>
      </c>
      <c r="F267">
        <v>2.9978429643516145</v>
      </c>
      <c r="G267">
        <v>1.3010357769565462</v>
      </c>
      <c r="J267">
        <f t="shared" si="6"/>
        <v>18</v>
      </c>
      <c r="K267">
        <f t="shared" si="7"/>
        <v>0.26958028230673775</v>
      </c>
      <c r="L267">
        <f t="shared" si="8"/>
        <v>0.11699531837184464</v>
      </c>
    </row>
    <row r="268" spans="1:12" x14ac:dyDescent="0.2">
      <c r="D268">
        <v>19</v>
      </c>
      <c r="E268">
        <v>11.773882159258489</v>
      </c>
      <c r="F268">
        <v>3.2357480086889856</v>
      </c>
      <c r="G268">
        <v>1.4369876026361224</v>
      </c>
      <c r="J268">
        <f t="shared" si="6"/>
        <v>19</v>
      </c>
      <c r="K268">
        <f t="shared" si="7"/>
        <v>0.27482422236955451</v>
      </c>
      <c r="L268">
        <f t="shared" si="8"/>
        <v>0.12204875020820004</v>
      </c>
    </row>
    <row r="269" spans="1:12" x14ac:dyDescent="0.2">
      <c r="D269">
        <v>20</v>
      </c>
      <c r="E269">
        <v>12.425801094430009</v>
      </c>
      <c r="F269">
        <v>3.4729151059600358</v>
      </c>
      <c r="G269">
        <v>1.57496283282204</v>
      </c>
      <c r="J269">
        <f t="shared" si="6"/>
        <v>20</v>
      </c>
      <c r="K269">
        <f t="shared" si="7"/>
        <v>0.27949225000203853</v>
      </c>
      <c r="L269">
        <f t="shared" si="8"/>
        <v>0.12674939996649656</v>
      </c>
    </row>
    <row r="272" spans="1:12" x14ac:dyDescent="0.2">
      <c r="A272" s="24" t="s">
        <v>752</v>
      </c>
    </row>
    <row r="273" spans="3:7" x14ac:dyDescent="0.2">
      <c r="C273" s="9" t="s">
        <v>753</v>
      </c>
      <c r="D273" s="9" t="s">
        <v>754</v>
      </c>
      <c r="E273" s="5" t="s">
        <v>757</v>
      </c>
      <c r="F273" s="5" t="s">
        <v>755</v>
      </c>
      <c r="G273" s="5" t="s">
        <v>756</v>
      </c>
    </row>
    <row r="274" spans="3:7" x14ac:dyDescent="0.2">
      <c r="C274" s="10">
        <v>3500</v>
      </c>
      <c r="D274" s="10">
        <f>LOG(0.41*C274^0.36)</f>
        <v>0.88864835268583464</v>
      </c>
      <c r="E274">
        <f>LOG(C274)^0.168-0.328</f>
        <v>0.90884803848916418</v>
      </c>
      <c r="F274">
        <f>LOG(C274)^0.086-0.257</f>
        <v>0.85795458148596271</v>
      </c>
      <c r="G274">
        <f>LOG(C274)^0.312-0.805</f>
        <v>0.67903669646954945</v>
      </c>
    </row>
    <row r="275" spans="3:7" x14ac:dyDescent="0.2">
      <c r="C275" s="10">
        <v>112500</v>
      </c>
      <c r="D275" s="10">
        <f>LOG(0.41*C275^0.36)</f>
        <v>1.4311987648007927</v>
      </c>
      <c r="E275">
        <f>LOG(C275)^0.168-0.328</f>
        <v>0.98471244053175111</v>
      </c>
      <c r="F275">
        <f>LOG(C275)^0.086-0.257</f>
        <v>0.89245396181146786</v>
      </c>
      <c r="G275">
        <f>LOG(C275)^0.312-0.805</f>
        <v>0.85251638621037162</v>
      </c>
    </row>
    <row r="276" spans="3:7" x14ac:dyDescent="0.2">
      <c r="D276">
        <f>D275/D274</f>
        <v>1.6105344262161332</v>
      </c>
      <c r="E276">
        <f t="shared" ref="E276:G276" si="9">E275/E274</f>
        <v>1.0834731427364921</v>
      </c>
      <c r="F276">
        <f>F275/F274</f>
        <v>1.0402111965714465</v>
      </c>
      <c r="G276">
        <f t="shared" si="9"/>
        <v>1.2554791083350554</v>
      </c>
    </row>
  </sheetData>
  <sortState xmlns:xlrd2="http://schemas.microsoft.com/office/spreadsheetml/2017/richdata2" ref="C5:C140">
    <sortCondition ref="C5:C140"/>
  </sortState>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420F-20B5-4DE6-AA9D-D905B0EC1AC1}">
  <sheetPr codeName="Sheet15"/>
  <dimension ref="A2:F23"/>
  <sheetViews>
    <sheetView workbookViewId="0">
      <selection activeCell="E22" sqref="E22"/>
    </sheetView>
  </sheetViews>
  <sheetFormatPr defaultRowHeight="12.75" x14ac:dyDescent="0.2"/>
  <cols>
    <col min="1" max="1" width="21.5703125" bestFit="1" customWidth="1"/>
    <col min="2" max="2" width="12" bestFit="1" customWidth="1"/>
    <col min="4" max="4" width="55.85546875" bestFit="1" customWidth="1"/>
    <col min="5" max="5" width="12.42578125" bestFit="1" customWidth="1"/>
    <col min="6" max="6" width="12.85546875" customWidth="1"/>
  </cols>
  <sheetData>
    <row r="2" spans="1:6" x14ac:dyDescent="0.2">
      <c r="A2" t="s">
        <v>787</v>
      </c>
      <c r="B2" t="s">
        <v>788</v>
      </c>
    </row>
    <row r="4" spans="1:6" x14ac:dyDescent="0.2">
      <c r="A4" s="5" t="s">
        <v>789</v>
      </c>
      <c r="B4" s="5" t="s">
        <v>790</v>
      </c>
      <c r="C4" s="5" t="s">
        <v>791</v>
      </c>
      <c r="D4" s="5" t="s">
        <v>792</v>
      </c>
      <c r="F4" s="5" t="s">
        <v>794</v>
      </c>
    </row>
    <row r="5" spans="1:6" x14ac:dyDescent="0.2">
      <c r="A5" t="s">
        <v>764</v>
      </c>
      <c r="B5">
        <v>0.60960000000000003</v>
      </c>
      <c r="C5" t="s">
        <v>73</v>
      </c>
      <c r="E5">
        <f>Ds</f>
        <v>0.60959999999999992</v>
      </c>
      <c r="F5">
        <f>LOG10(B5/E5)</f>
        <v>9.6432746655328696E-17</v>
      </c>
    </row>
    <row r="6" spans="1:6" x14ac:dyDescent="0.2">
      <c r="A6" t="s">
        <v>765</v>
      </c>
      <c r="B6">
        <v>1.7000000000000001E-2</v>
      </c>
      <c r="C6" t="s">
        <v>73</v>
      </c>
      <c r="E6">
        <f>ts</f>
        <v>1.7000000000000001E-2</v>
      </c>
      <c r="F6">
        <f t="shared" ref="F6:F23" si="0">LOG10(B6/E6)</f>
        <v>0</v>
      </c>
    </row>
    <row r="7" spans="1:6" x14ac:dyDescent="0.2">
      <c r="A7" t="s">
        <v>766</v>
      </c>
      <c r="B7">
        <f>B5-2*B6</f>
        <v>0.5756</v>
      </c>
      <c r="C7" t="s">
        <v>73</v>
      </c>
      <c r="E7">
        <f>Ds-2*ts</f>
        <v>0.57559999999999989</v>
      </c>
      <c r="F7">
        <f t="shared" si="0"/>
        <v>9.6432746655328696E-17</v>
      </c>
    </row>
    <row r="8" spans="1:6" x14ac:dyDescent="0.2">
      <c r="A8" t="s">
        <v>767</v>
      </c>
      <c r="B8">
        <v>0.04</v>
      </c>
      <c r="C8" t="s">
        <v>73</v>
      </c>
      <c r="E8">
        <f>twc</f>
        <v>0.04</v>
      </c>
      <c r="F8">
        <f t="shared" si="0"/>
        <v>0</v>
      </c>
    </row>
    <row r="9" spans="1:6" x14ac:dyDescent="0.2">
      <c r="A9" t="s">
        <v>768</v>
      </c>
      <c r="B9">
        <v>6.0000000000000001E-3</v>
      </c>
      <c r="C9" t="s">
        <v>73</v>
      </c>
      <c r="D9" s="5" t="s">
        <v>793</v>
      </c>
      <c r="E9">
        <f>tcc</f>
        <v>6.0000000000000001E-3</v>
      </c>
      <c r="F9">
        <f t="shared" si="0"/>
        <v>0</v>
      </c>
    </row>
    <row r="10" spans="1:6" ht="15" x14ac:dyDescent="0.25">
      <c r="A10" t="s">
        <v>769</v>
      </c>
      <c r="B10" s="73">
        <f>B5+2*B8+2*B9</f>
        <v>0.7016</v>
      </c>
      <c r="C10" t="s">
        <v>73</v>
      </c>
      <c r="E10">
        <f>Dc_p</f>
        <v>0.70159999999999989</v>
      </c>
      <c r="F10">
        <f t="shared" si="0"/>
        <v>9.6432746655328696E-17</v>
      </c>
    </row>
    <row r="11" spans="1:6" x14ac:dyDescent="0.2">
      <c r="A11" t="s">
        <v>770</v>
      </c>
      <c r="B11">
        <v>7850</v>
      </c>
      <c r="C11" t="s">
        <v>771</v>
      </c>
      <c r="E11">
        <f>rhos</f>
        <v>7850</v>
      </c>
      <c r="F11">
        <f t="shared" si="0"/>
        <v>0</v>
      </c>
    </row>
    <row r="12" spans="1:6" x14ac:dyDescent="0.2">
      <c r="A12" t="s">
        <v>772</v>
      </c>
      <c r="B12">
        <v>100</v>
      </c>
      <c r="C12" t="s">
        <v>771</v>
      </c>
      <c r="E12">
        <f>rhoi</f>
        <v>100</v>
      </c>
      <c r="F12">
        <f t="shared" si="0"/>
        <v>0</v>
      </c>
    </row>
    <row r="13" spans="1:6" x14ac:dyDescent="0.2">
      <c r="A13" t="s">
        <v>773</v>
      </c>
      <c r="B13">
        <v>2400</v>
      </c>
      <c r="C13" t="s">
        <v>771</v>
      </c>
      <c r="E13">
        <f>rhowc</f>
        <v>2400</v>
      </c>
      <c r="F13">
        <f t="shared" si="0"/>
        <v>0</v>
      </c>
    </row>
    <row r="14" spans="1:6" x14ac:dyDescent="0.2">
      <c r="A14" t="s">
        <v>774</v>
      </c>
      <c r="B14" s="17">
        <v>207000000000</v>
      </c>
      <c r="C14" t="s">
        <v>775</v>
      </c>
      <c r="E14">
        <f>E_p</f>
        <v>207000</v>
      </c>
      <c r="F14">
        <f t="shared" si="0"/>
        <v>6</v>
      </c>
    </row>
    <row r="15" spans="1:6" x14ac:dyDescent="0.2">
      <c r="A15" t="s">
        <v>776</v>
      </c>
      <c r="B15" s="17">
        <v>90500000</v>
      </c>
      <c r="C15" t="s">
        <v>232</v>
      </c>
      <c r="E15">
        <f>kx_p</f>
        <v>90.494128069103525</v>
      </c>
      <c r="F15">
        <f t="shared" si="0"/>
        <v>6.0000281793361427</v>
      </c>
    </row>
    <row r="16" spans="1:6" x14ac:dyDescent="0.2">
      <c r="A16" t="s">
        <v>777</v>
      </c>
      <c r="B16">
        <v>1.5</v>
      </c>
      <c r="E16">
        <f>Cd_p</f>
        <v>1.5</v>
      </c>
      <c r="F16">
        <f t="shared" si="0"/>
        <v>0</v>
      </c>
    </row>
    <row r="17" spans="1:6" x14ac:dyDescent="0.2">
      <c r="A17" t="s">
        <v>778</v>
      </c>
      <c r="B17" s="17">
        <v>207000000000</v>
      </c>
      <c r="C17" t="s">
        <v>775</v>
      </c>
      <c r="E17">
        <f>E_p</f>
        <v>207000</v>
      </c>
      <c r="F17">
        <f t="shared" si="0"/>
        <v>6</v>
      </c>
    </row>
    <row r="18" spans="1:6" x14ac:dyDescent="0.2">
      <c r="A18" t="s">
        <v>779</v>
      </c>
      <c r="B18" s="17">
        <f>PI()/4*(B5^2-(B5-2*B6)^2)</f>
        <v>3.1649032710794313E-2</v>
      </c>
      <c r="C18" t="s">
        <v>780</v>
      </c>
      <c r="E18">
        <f>EA_p/E_p</f>
        <v>3.1649032714926799E-2</v>
      </c>
      <c r="F18">
        <f t="shared" si="0"/>
        <v>-5.6706794510634937E-11</v>
      </c>
    </row>
    <row r="19" spans="1:6" x14ac:dyDescent="0.2">
      <c r="A19" t="s">
        <v>781</v>
      </c>
      <c r="B19" s="17">
        <f>B17*B18</f>
        <v>6551349771.1344223</v>
      </c>
      <c r="C19" t="s">
        <v>79</v>
      </c>
      <c r="E19">
        <f>EA_p</f>
        <v>6551.3497719898478</v>
      </c>
      <c r="F19">
        <f t="shared" si="0"/>
        <v>5.9999999999432934</v>
      </c>
    </row>
    <row r="20" spans="1:6" x14ac:dyDescent="0.2">
      <c r="B20" s="17"/>
    </row>
    <row r="21" spans="1:6" x14ac:dyDescent="0.2">
      <c r="A21" t="s">
        <v>782</v>
      </c>
      <c r="B21">
        <v>3.74</v>
      </c>
      <c r="E21">
        <f>nfat</f>
        <v>3.74</v>
      </c>
      <c r="F21">
        <f t="shared" si="0"/>
        <v>0</v>
      </c>
    </row>
    <row r="22" spans="1:6" x14ac:dyDescent="0.2">
      <c r="A22" t="s">
        <v>783</v>
      </c>
      <c r="B22">
        <v>6.8899999999999993E+35</v>
      </c>
      <c r="C22" t="s">
        <v>784</v>
      </c>
      <c r="E22">
        <f>afat</f>
        <v>6.885571758345457E+35</v>
      </c>
      <c r="F22">
        <f t="shared" si="0"/>
        <v>2.7921323558562322E-4</v>
      </c>
    </row>
    <row r="23" spans="1:6" x14ac:dyDescent="0.2">
      <c r="A23" t="s">
        <v>785</v>
      </c>
      <c r="B23">
        <f>LOG10(6.89*10^(35-3.74*6))</f>
        <v>13.398219221907626</v>
      </c>
      <c r="C23" t="s">
        <v>786</v>
      </c>
      <c r="E23">
        <f>LOG10(afat)-6*nfat</f>
        <v>13.397940008672041</v>
      </c>
      <c r="F23">
        <f t="shared" si="0"/>
        <v>9.05060807034325E-6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FF389-FE18-496E-9F1C-2AB252637031}">
  <sheetPr codeName="Sheet16"/>
  <dimension ref="A1:N103"/>
  <sheetViews>
    <sheetView workbookViewId="0"/>
  </sheetViews>
  <sheetFormatPr defaultRowHeight="12.75" x14ac:dyDescent="0.2"/>
  <cols>
    <col min="10" max="11" width="11.5703125" bestFit="1" customWidth="1"/>
    <col min="12" max="12" width="17.7109375" customWidth="1"/>
    <col min="13" max="14" width="38.42578125" bestFit="1" customWidth="1"/>
  </cols>
  <sheetData>
    <row r="1" spans="1:14" x14ac:dyDescent="0.2">
      <c r="A1" s="5" t="s">
        <v>759</v>
      </c>
      <c r="G1" s="5" t="s">
        <v>760</v>
      </c>
      <c r="H1" s="5"/>
    </row>
    <row r="2" spans="1:14" x14ac:dyDescent="0.2">
      <c r="B2" s="69" t="s">
        <v>466</v>
      </c>
      <c r="C2" s="69"/>
      <c r="D2" s="69" t="s">
        <v>470</v>
      </c>
      <c r="G2" s="5" t="s">
        <v>466</v>
      </c>
      <c r="H2" s="5" t="s">
        <v>79</v>
      </c>
      <c r="I2" s="5" t="s">
        <v>470</v>
      </c>
      <c r="J2" t="s">
        <v>761</v>
      </c>
      <c r="K2" t="s">
        <v>762</v>
      </c>
      <c r="L2" t="s">
        <v>763</v>
      </c>
      <c r="M2" t="s">
        <v>763</v>
      </c>
      <c r="N2" t="s">
        <v>763</v>
      </c>
    </row>
    <row r="3" spans="1:14" x14ac:dyDescent="0.2">
      <c r="B3" s="10">
        <f>'c'!D277</f>
        <v>1.0000000001</v>
      </c>
      <c r="C3" s="10"/>
      <c r="D3" s="10">
        <f>'c'!F277</f>
        <v>4.9730243938780503E-3</v>
      </c>
      <c r="G3">
        <v>1.0212835435542127</v>
      </c>
      <c r="H3">
        <f>-G3*1000000</f>
        <v>-1021283.5435542127</v>
      </c>
      <c r="I3">
        <v>0.60281476301413028</v>
      </c>
      <c r="J3">
        <v>1.6289000000000001E-2</v>
      </c>
      <c r="K3" s="17">
        <f>J3/(365*24*60*60)</f>
        <v>5.1652080162354144E-10</v>
      </c>
      <c r="L3">
        <v>0.48683999999999999</v>
      </c>
      <c r="M3">
        <v>-402.13</v>
      </c>
      <c r="N3">
        <f>ABS(M3+400)</f>
        <v>2.1299999999999955</v>
      </c>
    </row>
    <row r="4" spans="1:14" x14ac:dyDescent="0.2">
      <c r="B4" s="72">
        <f>'c'!D288</f>
        <v>1.0212835435542127</v>
      </c>
      <c r="C4" s="72"/>
      <c r="D4" s="72">
        <f>'c'!F288</f>
        <v>0.60281476301413028</v>
      </c>
      <c r="G4">
        <v>1.1489848042794888</v>
      </c>
      <c r="H4">
        <f t="shared" ref="H4:H20" si="0">-G4*1000000</f>
        <v>-1148984.8042794887</v>
      </c>
      <c r="I4">
        <v>1.0013523954863526</v>
      </c>
      <c r="J4">
        <v>46.136000000000003</v>
      </c>
      <c r="K4" s="17">
        <f t="shared" ref="K4:K20" si="1">J4/(365*24*60*60)</f>
        <v>1.4629629629629631E-6</v>
      </c>
      <c r="L4">
        <v>1.2073</v>
      </c>
      <c r="M4">
        <v>-401.92</v>
      </c>
      <c r="N4">
        <f t="shared" ref="N4:N20" si="2">ABS(M4+400)</f>
        <v>1.9200000000000159</v>
      </c>
    </row>
    <row r="5" spans="1:14" x14ac:dyDescent="0.2">
      <c r="B5" s="10">
        <f>'c'!D289</f>
        <v>1.0425670870084254</v>
      </c>
      <c r="C5" s="10"/>
      <c r="D5" s="10">
        <f>'c'!F289</f>
        <v>0.71942354220977323</v>
      </c>
      <c r="G5">
        <v>1.6385063037263801</v>
      </c>
      <c r="H5">
        <f t="shared" si="0"/>
        <v>-1638506.30372638</v>
      </c>
      <c r="I5">
        <v>1.5519544609164551</v>
      </c>
      <c r="J5">
        <v>7.9778000000000002</v>
      </c>
      <c r="K5" s="17">
        <f t="shared" si="1"/>
        <v>2.5297437848807713E-7</v>
      </c>
      <c r="L5">
        <v>2.0878999999999999</v>
      </c>
      <c r="M5">
        <v>-401.38</v>
      </c>
      <c r="N5">
        <f t="shared" si="2"/>
        <v>1.3799999999999955</v>
      </c>
    </row>
    <row r="6" spans="1:14" x14ac:dyDescent="0.2">
      <c r="B6" s="10">
        <f>'c'!D290</f>
        <v>1.0638506304626381</v>
      </c>
      <c r="C6" s="10"/>
      <c r="D6" s="10">
        <f>'c'!F290</f>
        <v>0.79899102696837254</v>
      </c>
      <c r="G6">
        <v>2.2770126073527601</v>
      </c>
      <c r="H6">
        <f t="shared" si="0"/>
        <v>-2277012.6073527602</v>
      </c>
      <c r="I6">
        <v>2.0080465492169632</v>
      </c>
      <c r="J6">
        <v>1732.5</v>
      </c>
      <c r="K6" s="17">
        <f t="shared" si="1"/>
        <v>5.4937214611872144E-5</v>
      </c>
      <c r="L6">
        <v>2.5590000000000002</v>
      </c>
      <c r="M6">
        <v>-401.01</v>
      </c>
      <c r="N6">
        <f t="shared" si="2"/>
        <v>1.0099999999999909</v>
      </c>
    </row>
    <row r="7" spans="1:14" x14ac:dyDescent="0.2">
      <c r="B7" s="10">
        <f>'c'!D291</f>
        <v>1.0851341739168507</v>
      </c>
      <c r="C7" s="10"/>
      <c r="D7" s="10">
        <f>'c'!F291</f>
        <v>0.8615932124770711</v>
      </c>
      <c r="G7">
        <v>3.1283543455212675</v>
      </c>
      <c r="H7">
        <f t="shared" si="0"/>
        <v>-3128354.3455212675</v>
      </c>
      <c r="I7">
        <v>2.5099553283107761</v>
      </c>
      <c r="J7">
        <v>3100.3</v>
      </c>
      <c r="K7" s="17">
        <f t="shared" si="1"/>
        <v>9.8309868087265357E-5</v>
      </c>
      <c r="L7">
        <v>2.9443000000000001</v>
      </c>
      <c r="M7">
        <v>-400.74</v>
      </c>
      <c r="N7">
        <f t="shared" si="2"/>
        <v>0.74000000000000909</v>
      </c>
    </row>
    <row r="8" spans="1:14" x14ac:dyDescent="0.2">
      <c r="B8" s="10">
        <f>'c'!D292</f>
        <v>1.1064177173710634</v>
      </c>
      <c r="C8" s="10"/>
      <c r="D8" s="10">
        <f>'c'!F292</f>
        <v>0.91421167354847854</v>
      </c>
      <c r="G8">
        <v>3.9796960836897748</v>
      </c>
      <c r="H8">
        <f t="shared" si="0"/>
        <v>-3979696.0836897749</v>
      </c>
      <c r="I8">
        <v>2.9601023770646941</v>
      </c>
      <c r="J8">
        <v>106.6</v>
      </c>
      <c r="K8" s="17">
        <f t="shared" si="1"/>
        <v>3.3802638254693046E-6</v>
      </c>
      <c r="L8">
        <v>3.2397</v>
      </c>
      <c r="M8">
        <v>-400.59</v>
      </c>
      <c r="N8">
        <f t="shared" si="2"/>
        <v>0.58999999999997499</v>
      </c>
    </row>
    <row r="9" spans="1:14" x14ac:dyDescent="0.2">
      <c r="B9" s="10">
        <f>'c'!D293</f>
        <v>1.1277012608252761</v>
      </c>
      <c r="C9" s="10"/>
      <c r="D9" s="10">
        <f>'c'!F293</f>
        <v>0.96017509786639244</v>
      </c>
      <c r="G9">
        <v>5.043873256400409</v>
      </c>
      <c r="H9">
        <f t="shared" si="0"/>
        <v>-5043873.2564004092</v>
      </c>
      <c r="I9">
        <v>3.4821561394951028</v>
      </c>
      <c r="J9">
        <v>255.88</v>
      </c>
      <c r="K9" s="17">
        <f t="shared" si="1"/>
        <v>8.113901572805683E-6</v>
      </c>
      <c r="L9">
        <v>3.5535999999999999</v>
      </c>
      <c r="M9">
        <v>-400.47</v>
      </c>
      <c r="N9">
        <f t="shared" si="2"/>
        <v>0.47000000000002728</v>
      </c>
    </row>
    <row r="10" spans="1:14" x14ac:dyDescent="0.2">
      <c r="B10" s="72">
        <f>'c'!D294</f>
        <v>1.1489848042794888</v>
      </c>
      <c r="C10" s="72"/>
      <c r="D10" s="72">
        <f>'c'!F294</f>
        <v>1.0013523954863526</v>
      </c>
      <c r="G10">
        <v>6.32088586365317</v>
      </c>
      <c r="H10">
        <f t="shared" si="0"/>
        <v>-6320885.8636531699</v>
      </c>
      <c r="I10">
        <v>4.0695927376681276</v>
      </c>
      <c r="J10">
        <v>34206</v>
      </c>
      <c r="K10" s="17">
        <f t="shared" si="1"/>
        <v>1.0846651445966513E-3</v>
      </c>
      <c r="L10">
        <v>3.8851</v>
      </c>
      <c r="M10">
        <v>-400.37</v>
      </c>
      <c r="N10">
        <f t="shared" si="2"/>
        <v>0.37000000000000455</v>
      </c>
    </row>
    <row r="11" spans="1:14" x14ac:dyDescent="0.2">
      <c r="B11" s="10">
        <f>'c'!D295</f>
        <v>1.1702683477337015</v>
      </c>
      <c r="C11" s="10"/>
      <c r="D11" s="10">
        <f>'c'!F295</f>
        <v>1.0389059681607336</v>
      </c>
      <c r="G11">
        <v>7.3850630363638041</v>
      </c>
      <c r="H11">
        <f t="shared" si="0"/>
        <v>-7385063.0363638038</v>
      </c>
      <c r="I11">
        <v>4.535563715395309</v>
      </c>
      <c r="J11">
        <v>53934</v>
      </c>
      <c r="K11" s="17">
        <f t="shared" si="1"/>
        <v>1.7102359208523593E-3</v>
      </c>
      <c r="L11">
        <v>4.1364000000000001</v>
      </c>
      <c r="M11">
        <v>-400.32</v>
      </c>
      <c r="N11">
        <f t="shared" si="2"/>
        <v>0.31999999999999318</v>
      </c>
    </row>
    <row r="12" spans="1:14" x14ac:dyDescent="0.2">
      <c r="B12" s="10">
        <f>'c'!D296</f>
        <v>1.1915518911879142</v>
      </c>
      <c r="C12" s="10"/>
      <c r="D12" s="10">
        <f>'c'!F296</f>
        <v>1.0736117603431587</v>
      </c>
      <c r="G12">
        <v>8.6620756436165642</v>
      </c>
      <c r="H12">
        <f t="shared" si="0"/>
        <v>-8662075.6436165646</v>
      </c>
      <c r="I12">
        <v>5.0728775903620189</v>
      </c>
      <c r="J12">
        <v>1190.2</v>
      </c>
      <c r="K12" s="17">
        <f t="shared" si="1"/>
        <v>3.7740994419076612E-5</v>
      </c>
      <c r="L12">
        <v>4.4160000000000004</v>
      </c>
      <c r="M12">
        <v>-400.27</v>
      </c>
      <c r="N12">
        <f t="shared" si="2"/>
        <v>0.26999999999998181</v>
      </c>
    </row>
    <row r="13" spans="1:14" x14ac:dyDescent="0.2">
      <c r="B13" s="10">
        <f>'c'!D297</f>
        <v>1.2128354346421268</v>
      </c>
      <c r="C13" s="10"/>
      <c r="D13" s="10">
        <f>'c'!F297</f>
        <v>1.1060153724490303</v>
      </c>
      <c r="G13">
        <v>11.003265423579959</v>
      </c>
      <c r="H13">
        <f t="shared" si="0"/>
        <v>-11003265.423579959</v>
      </c>
      <c r="I13">
        <v>6.0098742540054682</v>
      </c>
      <c r="J13">
        <v>2111.1</v>
      </c>
      <c r="K13" s="17">
        <f t="shared" si="1"/>
        <v>6.6942541856925415E-5</v>
      </c>
      <c r="L13">
        <v>4.8822000000000001</v>
      </c>
      <c r="M13">
        <v>-400.22</v>
      </c>
      <c r="N13">
        <f t="shared" si="2"/>
        <v>0.22000000000002728</v>
      </c>
    </row>
    <row r="14" spans="1:14" x14ac:dyDescent="0.2">
      <c r="B14" s="10">
        <f>'c'!D298</f>
        <v>1.4256708691842535</v>
      </c>
      <c r="C14" s="10"/>
      <c r="D14" s="10">
        <f>'c'!F298</f>
        <v>1.3593114846545298</v>
      </c>
      <c r="G14">
        <v>12.28027803083272</v>
      </c>
      <c r="H14">
        <f t="shared" si="0"/>
        <v>-12280278.030832721</v>
      </c>
      <c r="I14">
        <v>6.4999083797598081</v>
      </c>
      <c r="J14">
        <v>3110.9</v>
      </c>
      <c r="K14" s="17">
        <f t="shared" si="1"/>
        <v>9.8645991882293261E-5</v>
      </c>
      <c r="L14">
        <v>5.1166999999999998</v>
      </c>
      <c r="M14">
        <v>-400.19</v>
      </c>
      <c r="N14">
        <f t="shared" si="2"/>
        <v>0.18999999999999773</v>
      </c>
    </row>
    <row r="15" spans="1:14" x14ac:dyDescent="0.2">
      <c r="B15" s="72">
        <f>'c'!D299</f>
        <v>1.6385063037263801</v>
      </c>
      <c r="C15" s="72"/>
      <c r="D15" s="72">
        <f>'c'!F299</f>
        <v>1.5519544609164551</v>
      </c>
      <c r="G15">
        <v>13.557290638085481</v>
      </c>
      <c r="H15">
        <f t="shared" si="0"/>
        <v>-13557290.638085481</v>
      </c>
      <c r="I15">
        <v>6.97760993543063</v>
      </c>
      <c r="J15">
        <v>4346.8999999999996</v>
      </c>
      <c r="K15" s="17">
        <f t="shared" si="1"/>
        <v>1.3783929477422627E-4</v>
      </c>
      <c r="L15">
        <v>5.3396999999999997</v>
      </c>
      <c r="M15">
        <v>-400.17</v>
      </c>
      <c r="N15">
        <f t="shared" si="2"/>
        <v>0.17000000000001592</v>
      </c>
    </row>
    <row r="16" spans="1:14" x14ac:dyDescent="0.2">
      <c r="B16" s="10">
        <f>'c'!D300</f>
        <v>1.8513417382685067</v>
      </c>
      <c r="C16" s="10"/>
      <c r="D16" s="10">
        <f>'c'!F300</f>
        <v>1.7177124856520969</v>
      </c>
      <c r="G16">
        <v>15.047138679880369</v>
      </c>
      <c r="H16">
        <f t="shared" si="0"/>
        <v>-15047138.679880369</v>
      </c>
      <c r="I16">
        <v>7.5212565313209341</v>
      </c>
      <c r="J16" s="17">
        <v>391600</v>
      </c>
      <c r="K16" s="17">
        <f t="shared" si="1"/>
        <v>1.2417554540842212E-2</v>
      </c>
      <c r="L16" s="17">
        <v>5.5873999999999997</v>
      </c>
      <c r="M16">
        <v>-400.16</v>
      </c>
      <c r="N16">
        <f t="shared" si="2"/>
        <v>0.16000000000002501</v>
      </c>
    </row>
    <row r="17" spans="2:14" x14ac:dyDescent="0.2">
      <c r="B17" s="10">
        <f>'c'!D301</f>
        <v>2.0641771728106333</v>
      </c>
      <c r="C17" s="10"/>
      <c r="D17" s="10">
        <f>'c'!F301</f>
        <v>1.8679819295741455</v>
      </c>
      <c r="G17">
        <v>16.536986721675252</v>
      </c>
      <c r="H17">
        <f t="shared" si="0"/>
        <v>-16536986.721675253</v>
      </c>
      <c r="I17">
        <v>8.0518941247170073</v>
      </c>
      <c r="J17" s="17">
        <v>510700</v>
      </c>
      <c r="K17" s="17">
        <f t="shared" si="1"/>
        <v>1.6194190766108573E-2</v>
      </c>
      <c r="L17" s="17">
        <v>5.8232999999999997</v>
      </c>
      <c r="M17">
        <v>-400.14</v>
      </c>
      <c r="N17">
        <f t="shared" si="2"/>
        <v>0.13999999999998636</v>
      </c>
    </row>
    <row r="18" spans="2:14" x14ac:dyDescent="0.2">
      <c r="B18" s="72">
        <f>'c'!D302</f>
        <v>2.2770126073527601</v>
      </c>
      <c r="C18" s="72"/>
      <c r="D18" s="72">
        <f>'c'!F302</f>
        <v>2.0080465492169632</v>
      </c>
      <c r="G18">
        <v>17.813999328928002</v>
      </c>
      <c r="H18">
        <f t="shared" si="0"/>
        <v>-17813999.328928001</v>
      </c>
      <c r="I18">
        <v>8.4974754066869398</v>
      </c>
      <c r="J18" s="17">
        <v>540250</v>
      </c>
      <c r="K18" s="17">
        <f t="shared" si="1"/>
        <v>1.713121511922882E-2</v>
      </c>
      <c r="L18" s="17">
        <v>6.0172999999999996</v>
      </c>
      <c r="M18">
        <v>-400.13</v>
      </c>
      <c r="N18">
        <f t="shared" si="2"/>
        <v>0.12999999999999545</v>
      </c>
    </row>
    <row r="19" spans="2:14" x14ac:dyDescent="0.2">
      <c r="B19" s="10">
        <f>'c'!D303</f>
        <v>2.489848041894887</v>
      </c>
      <c r="C19" s="10"/>
      <c r="D19" s="10">
        <f>'c'!F303</f>
        <v>2.1407975034095226</v>
      </c>
      <c r="G19">
        <v>19.303847370722885</v>
      </c>
      <c r="H19">
        <f t="shared" si="0"/>
        <v>-19303847.370722886</v>
      </c>
      <c r="I19">
        <v>9.0075808218821223</v>
      </c>
      <c r="J19">
        <v>10518</v>
      </c>
      <c r="K19" s="17">
        <f t="shared" si="1"/>
        <v>3.3352359208523594E-4</v>
      </c>
      <c r="L19">
        <v>6.2350000000000003</v>
      </c>
      <c r="M19">
        <v>-400.12</v>
      </c>
      <c r="N19">
        <f t="shared" si="2"/>
        <v>0.12000000000000455</v>
      </c>
    </row>
    <row r="20" spans="2:14" x14ac:dyDescent="0.2">
      <c r="B20" s="10">
        <f>'c'!D304</f>
        <v>2.7026834764370138</v>
      </c>
      <c r="C20" s="10"/>
      <c r="D20" s="10">
        <f>'c'!F304</f>
        <v>2.2679919604819596</v>
      </c>
      <c r="G20">
        <v>22.28354345431266</v>
      </c>
      <c r="H20">
        <f t="shared" si="0"/>
        <v>-22283543.45431266</v>
      </c>
      <c r="I20">
        <v>9.9999999973481977</v>
      </c>
      <c r="J20">
        <v>17863</v>
      </c>
      <c r="K20" s="17">
        <f t="shared" si="1"/>
        <v>5.6643201420598682E-4</v>
      </c>
      <c r="L20">
        <v>6.6463000000000001</v>
      </c>
      <c r="M20">
        <v>-400.11</v>
      </c>
      <c r="N20">
        <f t="shared" si="2"/>
        <v>0.11000000000001364</v>
      </c>
    </row>
    <row r="21" spans="2:14" x14ac:dyDescent="0.2">
      <c r="B21" s="10">
        <f>'c'!D305</f>
        <v>2.9155189109791406</v>
      </c>
      <c r="C21" s="10"/>
      <c r="D21" s="10">
        <f>'c'!F305</f>
        <v>2.3907796003245791</v>
      </c>
    </row>
    <row r="22" spans="2:14" x14ac:dyDescent="0.2">
      <c r="B22" s="72">
        <f>'c'!D306</f>
        <v>3.1283543455212675</v>
      </c>
      <c r="C22" s="72"/>
      <c r="D22" s="72">
        <f>'c'!F306</f>
        <v>2.5099553283107761</v>
      </c>
    </row>
    <row r="23" spans="2:14" x14ac:dyDescent="0.2">
      <c r="B23" s="10">
        <f>'c'!D307</f>
        <v>3.3411897800633943</v>
      </c>
      <c r="C23" s="10"/>
      <c r="D23" s="10">
        <f>'c'!F307</f>
        <v>2.626093014352795</v>
      </c>
    </row>
    <row r="24" spans="2:14" x14ac:dyDescent="0.2">
      <c r="B24" s="10">
        <f>'c'!D308</f>
        <v>3.5540252146055211</v>
      </c>
      <c r="C24" s="10"/>
      <c r="D24" s="10">
        <f>'c'!F308</f>
        <v>2.7396216640525002</v>
      </c>
    </row>
    <row r="25" spans="2:14" x14ac:dyDescent="0.2">
      <c r="B25" s="10">
        <f>'c'!D309</f>
        <v>3.766860649147648</v>
      </c>
      <c r="C25" s="10"/>
      <c r="D25" s="10">
        <f>'c'!F309</f>
        <v>2.8508713737224554</v>
      </c>
    </row>
    <row r="26" spans="2:14" x14ac:dyDescent="0.2">
      <c r="B26" s="72">
        <f>'c'!D310</f>
        <v>3.9796960836897748</v>
      </c>
      <c r="C26" s="72"/>
      <c r="D26" s="72">
        <f>'c'!F310</f>
        <v>2.9601023770646941</v>
      </c>
    </row>
    <row r="27" spans="2:14" x14ac:dyDescent="0.2">
      <c r="B27" s="10">
        <f>'c'!D311</f>
        <v>4.1925315182319016</v>
      </c>
      <c r="C27" s="10"/>
      <c r="D27" s="10">
        <f>'c'!F311</f>
        <v>3.0675241265171453</v>
      </c>
    </row>
    <row r="28" spans="2:14" x14ac:dyDescent="0.2">
      <c r="B28" s="10">
        <f>'c'!D312</f>
        <v>4.4053669527740285</v>
      </c>
      <c r="C28" s="10"/>
      <c r="D28" s="10">
        <f>'c'!F312</f>
        <v>3.1733082431755895</v>
      </c>
    </row>
    <row r="29" spans="2:14" x14ac:dyDescent="0.2">
      <c r="B29" s="10">
        <f>'c'!D313</f>
        <v>4.6182023873161553</v>
      </c>
      <c r="C29" s="10"/>
      <c r="D29" s="10">
        <f>'c'!F313</f>
        <v>3.2775975546217837</v>
      </c>
    </row>
    <row r="30" spans="2:14" x14ac:dyDescent="0.2">
      <c r="B30" s="10">
        <f>'c'!D314</f>
        <v>4.8310378218582821</v>
      </c>
      <c r="C30" s="10"/>
      <c r="D30" s="10">
        <f>'c'!F314</f>
        <v>3.3805125576606585</v>
      </c>
    </row>
    <row r="31" spans="2:14" x14ac:dyDescent="0.2">
      <c r="B31" s="72">
        <f>'c'!D315</f>
        <v>5.043873256400409</v>
      </c>
      <c r="C31" s="72"/>
      <c r="D31" s="72">
        <f>'c'!F315</f>
        <v>3.4821561394951028</v>
      </c>
    </row>
    <row r="32" spans="2:14" x14ac:dyDescent="0.2">
      <c r="B32" s="10">
        <f>'c'!D316</f>
        <v>5.2567086909425358</v>
      </c>
      <c r="C32" s="10"/>
      <c r="D32" s="10">
        <f>'c'!F316</f>
        <v>3.5826170926931469</v>
      </c>
    </row>
    <row r="33" spans="2:4" x14ac:dyDescent="0.2">
      <c r="B33" s="10">
        <f>'c'!D317</f>
        <v>5.4695441254846626</v>
      </c>
      <c r="C33" s="10"/>
      <c r="D33" s="10">
        <f>'c'!F317</f>
        <v>3.6819727769082746</v>
      </c>
    </row>
    <row r="34" spans="2:4" x14ac:dyDescent="0.2">
      <c r="B34" s="10">
        <f>'c'!D318</f>
        <v>5.6823795600267895</v>
      </c>
      <c r="C34" s="10"/>
      <c r="D34" s="10">
        <f>'c'!F318</f>
        <v>3.7802911655237672</v>
      </c>
    </row>
    <row r="35" spans="2:4" x14ac:dyDescent="0.2">
      <c r="B35" s="10">
        <f>'c'!D319</f>
        <v>5.8952149945689163</v>
      </c>
      <c r="C35" s="10"/>
      <c r="D35" s="10">
        <f>'c'!F319</f>
        <v>3.8776324413028918</v>
      </c>
    </row>
    <row r="36" spans="2:4" x14ac:dyDescent="0.2">
      <c r="B36" s="10">
        <f>'c'!D320</f>
        <v>6.1080504291110431</v>
      </c>
      <c r="C36" s="10"/>
      <c r="D36" s="10">
        <f>'c'!F320</f>
        <v>3.9740502562164406</v>
      </c>
    </row>
    <row r="37" spans="2:4" x14ac:dyDescent="0.2">
      <c r="B37" s="72">
        <f>'c'!D321</f>
        <v>6.32088586365317</v>
      </c>
      <c r="C37" s="72"/>
      <c r="D37" s="72">
        <f>'c'!F321</f>
        <v>4.0695927376681276</v>
      </c>
    </row>
    <row r="38" spans="2:4" x14ac:dyDescent="0.2">
      <c r="B38" s="10">
        <f>'c'!D322</f>
        <v>6.5337212981952968</v>
      </c>
      <c r="C38" s="10"/>
      <c r="D38" s="10">
        <f>'c'!F322</f>
        <v>4.1643033007270569</v>
      </c>
    </row>
    <row r="39" spans="2:4" x14ac:dyDescent="0.2">
      <c r="B39" s="10">
        <f>'c'!D323</f>
        <v>6.7465567327374236</v>
      </c>
      <c r="C39" s="10"/>
      <c r="D39" s="10">
        <f>'c'!F323</f>
        <v>4.2582213101981523</v>
      </c>
    </row>
    <row r="40" spans="2:4" x14ac:dyDescent="0.2">
      <c r="B40" s="10">
        <f>'c'!D324</f>
        <v>6.9593921672795505</v>
      </c>
      <c r="C40" s="10"/>
      <c r="D40" s="10">
        <f>'c'!F324</f>
        <v>4.3513826251808867</v>
      </c>
    </row>
    <row r="41" spans="2:4" x14ac:dyDescent="0.2">
      <c r="B41" s="10">
        <f>'c'!D325</f>
        <v>7.1722276018216773</v>
      </c>
      <c r="C41" s="10"/>
      <c r="D41" s="10">
        <f>'c'!F325</f>
        <v>4.44382005073171</v>
      </c>
    </row>
    <row r="42" spans="2:4" x14ac:dyDescent="0.2">
      <c r="B42" s="10">
        <f>'c'!D326</f>
        <v>7.3850630363638041</v>
      </c>
      <c r="C42" s="10"/>
      <c r="D42" s="10">
        <f>'c'!F326</f>
        <v>4.535563715395309</v>
      </c>
    </row>
    <row r="43" spans="2:4" x14ac:dyDescent="0.2">
      <c r="B43" s="10">
        <f>'c'!D327</f>
        <v>7.597898470905931</v>
      </c>
      <c r="C43" s="10"/>
      <c r="D43" s="10">
        <f>'c'!F327</f>
        <v>4.6266413890586833</v>
      </c>
    </row>
    <row r="44" spans="2:4" x14ac:dyDescent="0.2">
      <c r="B44" s="10">
        <f>'c'!D328</f>
        <v>7.8107339054480578</v>
      </c>
      <c r="C44" s="10"/>
      <c r="D44" s="10">
        <f>'c'!F328</f>
        <v>4.7170787523691358</v>
      </c>
    </row>
    <row r="45" spans="2:4" x14ac:dyDescent="0.2">
      <c r="B45" s="10">
        <f>'c'!D329</f>
        <v>8.0235693399901837</v>
      </c>
      <c r="C45" s="10"/>
      <c r="D45" s="10">
        <f>'c'!F329</f>
        <v>4.8068996265376835</v>
      </c>
    </row>
    <row r="46" spans="2:4" x14ac:dyDescent="0.2">
      <c r="B46" s="10">
        <f>'c'!D330</f>
        <v>8.2364047745323106</v>
      </c>
      <c r="C46" s="10"/>
      <c r="D46" s="10">
        <f>'c'!F330</f>
        <v>4.896126170509346</v>
      </c>
    </row>
    <row r="47" spans="2:4" x14ac:dyDescent="0.2">
      <c r="B47" s="10">
        <f>'c'!D331</f>
        <v>8.4492402090744374</v>
      </c>
      <c r="C47" s="10"/>
      <c r="D47" s="10">
        <f>'c'!F331</f>
        <v>4.9847790510694718</v>
      </c>
    </row>
    <row r="48" spans="2:4" x14ac:dyDescent="0.2">
      <c r="B48" s="72">
        <f>'c'!D332</f>
        <v>8.6620756436165642</v>
      </c>
      <c r="C48" s="72"/>
      <c r="D48" s="72">
        <f>'c'!F332</f>
        <v>5.0728775903620189</v>
      </c>
    </row>
    <row r="49" spans="2:4" x14ac:dyDescent="0.2">
      <c r="B49" s="10">
        <f>'c'!D333</f>
        <v>8.8749110781586911</v>
      </c>
      <c r="C49" s="10"/>
      <c r="D49" s="10">
        <f>'c'!F333</f>
        <v>5.1604398944423906</v>
      </c>
    </row>
    <row r="50" spans="2:4" x14ac:dyDescent="0.2">
      <c r="B50" s="10">
        <f>'c'!D334</f>
        <v>9.0877465127008179</v>
      </c>
      <c r="C50" s="10"/>
      <c r="D50" s="10">
        <f>'c'!F334</f>
        <v>5.2474829658163875</v>
      </c>
    </row>
    <row r="51" spans="2:4" x14ac:dyDescent="0.2">
      <c r="B51" s="10">
        <f>'c'!D335</f>
        <v>9.3005819472429447</v>
      </c>
      <c r="C51" s="10"/>
      <c r="D51" s="10">
        <f>'c'!F335</f>
        <v>5.3340228023852623</v>
      </c>
    </row>
    <row r="52" spans="2:4" x14ac:dyDescent="0.2">
      <c r="B52" s="10">
        <f>'c'!D336</f>
        <v>9.5134173817850716</v>
      </c>
      <c r="C52" s="10"/>
      <c r="D52" s="10">
        <f>'c'!F336</f>
        <v>5.4200744847927922</v>
      </c>
    </row>
    <row r="53" spans="2:4" x14ac:dyDescent="0.2">
      <c r="B53" s="10">
        <f>'c'!D337</f>
        <v>9.7262528163271984</v>
      </c>
      <c r="C53" s="10"/>
      <c r="D53" s="10">
        <f>'c'!F337</f>
        <v>5.5056522538299753</v>
      </c>
    </row>
    <row r="54" spans="2:4" x14ac:dyDescent="0.2">
      <c r="B54" s="10">
        <f>'c'!D338</f>
        <v>9.9390882508693252</v>
      </c>
      <c r="C54" s="10"/>
      <c r="D54" s="10">
        <f>'c'!F338</f>
        <v>5.5907695792778966</v>
      </c>
    </row>
    <row r="55" spans="2:4" x14ac:dyDescent="0.2">
      <c r="B55" s="10">
        <f>'c'!D339</f>
        <v>10.151923685411452</v>
      </c>
      <c r="C55" s="10"/>
      <c r="D55" s="10">
        <f>'c'!F339</f>
        <v>5.6754392213459282</v>
      </c>
    </row>
    <row r="56" spans="2:4" x14ac:dyDescent="0.2">
      <c r="B56" s="10">
        <f>'c'!D340</f>
        <v>10.364759119953579</v>
      </c>
      <c r="C56" s="10"/>
      <c r="D56" s="10">
        <f>'c'!F340</f>
        <v>5.7596732856798836</v>
      </c>
    </row>
    <row r="57" spans="2:4" x14ac:dyDescent="0.2">
      <c r="B57" s="10">
        <f>'c'!D341</f>
        <v>10.577594554495706</v>
      </c>
      <c r="C57" s="10"/>
      <c r="D57" s="10">
        <f>'c'!F341</f>
        <v>5.8434832727647521</v>
      </c>
    </row>
    <row r="58" spans="2:4" x14ac:dyDescent="0.2">
      <c r="B58" s="10">
        <f>'c'!D342</f>
        <v>10.790429989037833</v>
      </c>
      <c r="C58" s="10"/>
      <c r="D58" s="10">
        <f>'c'!F342</f>
        <v>5.926880122422844</v>
      </c>
    </row>
    <row r="59" spans="2:4" x14ac:dyDescent="0.2">
      <c r="B59" s="72">
        <f>'c'!D343</f>
        <v>11.003265423579959</v>
      </c>
      <c r="C59" s="72"/>
      <c r="D59" s="72">
        <f>'c'!F343</f>
        <v>6.0098742540054682</v>
      </c>
    </row>
    <row r="60" spans="2:4" x14ac:dyDescent="0.2">
      <c r="B60" s="10">
        <f>'c'!D344</f>
        <v>11.216100858122086</v>
      </c>
      <c r="C60" s="10"/>
      <c r="D60" s="10">
        <f>'c'!F344</f>
        <v>6.0924756027906408</v>
      </c>
    </row>
    <row r="61" spans="2:4" x14ac:dyDescent="0.2">
      <c r="B61" s="10">
        <f>'c'!D345</f>
        <v>11.428936292664213</v>
      </c>
      <c r="C61" s="10"/>
      <c r="D61" s="10">
        <f>'c'!F345</f>
        <v>6.1746936530276342</v>
      </c>
    </row>
    <row r="62" spans="2:4" x14ac:dyDescent="0.2">
      <c r="B62" s="10">
        <f>'c'!D346</f>
        <v>11.64177172720634</v>
      </c>
      <c r="C62" s="10"/>
      <c r="D62" s="10">
        <f>'c'!F346</f>
        <v>6.2565374680089754</v>
      </c>
    </row>
    <row r="63" spans="2:4" x14ac:dyDescent="0.2">
      <c r="B63" s="10">
        <f>'c'!D347</f>
        <v>11.854607161748467</v>
      </c>
      <c r="C63" s="10"/>
      <c r="D63" s="10">
        <f>'c'!F347</f>
        <v>6.3380157174995215</v>
      </c>
    </row>
    <row r="64" spans="2:4" x14ac:dyDescent="0.2">
      <c r="B64" s="10">
        <f>'c'!D348</f>
        <v>12.067442596290594</v>
      </c>
      <c r="C64" s="10"/>
      <c r="D64" s="10">
        <f>'c'!F348</f>
        <v>6.4191367028092783</v>
      </c>
    </row>
    <row r="65" spans="2:4" x14ac:dyDescent="0.2">
      <c r="B65" s="72">
        <f>'c'!D349</f>
        <v>12.28027803083272</v>
      </c>
      <c r="C65" s="72"/>
      <c r="D65" s="72">
        <f>'c'!F349</f>
        <v>6.4999083797598081</v>
      </c>
    </row>
    <row r="66" spans="2:4" x14ac:dyDescent="0.2">
      <c r="B66" s="10">
        <f>'c'!D350</f>
        <v>12.493113465374847</v>
      </c>
      <c r="C66" s="10"/>
      <c r="D66" s="10">
        <f>'c'!F350</f>
        <v>6.5803383797628907</v>
      </c>
    </row>
    <row r="67" spans="2:4" x14ac:dyDescent="0.2">
      <c r="B67" s="10">
        <f>'c'!D351</f>
        <v>12.705948899916974</v>
      </c>
      <c r="C67" s="10"/>
      <c r="D67" s="10">
        <f>'c'!F351</f>
        <v>6.6604340292031985</v>
      </c>
    </row>
    <row r="68" spans="2:4" x14ac:dyDescent="0.2">
      <c r="B68" s="10">
        <f>'c'!D352</f>
        <v>12.918784334459101</v>
      </c>
      <c r="C68" s="10"/>
      <c r="D68" s="10">
        <f>'c'!F352</f>
        <v>6.7402023672937421</v>
      </c>
    </row>
    <row r="69" spans="2:4" x14ac:dyDescent="0.2">
      <c r="B69" s="10">
        <f>'c'!D353</f>
        <v>13.131619769001228</v>
      </c>
      <c r="C69" s="10"/>
      <c r="D69" s="10">
        <f>'c'!F353</f>
        <v>6.8196501625529438</v>
      </c>
    </row>
    <row r="70" spans="2:4" x14ac:dyDescent="0.2">
      <c r="B70" s="10">
        <f>'c'!D354</f>
        <v>13.344455203543355</v>
      </c>
      <c r="C70" s="10"/>
      <c r="D70" s="10">
        <f>'c'!F354</f>
        <v>6.8987839280350522</v>
      </c>
    </row>
    <row r="71" spans="2:4" x14ac:dyDescent="0.2">
      <c r="B71" s="72">
        <f>'c'!D355</f>
        <v>13.557290638085481</v>
      </c>
      <c r="C71" s="72"/>
      <c r="D71" s="72">
        <f>'c'!F355</f>
        <v>6.97760993543063</v>
      </c>
    </row>
    <row r="72" spans="2:4" x14ac:dyDescent="0.2">
      <c r="B72" s="10">
        <f>'c'!D356</f>
        <v>13.770126072627608</v>
      </c>
      <c r="C72" s="10"/>
      <c r="D72" s="10">
        <f>'c'!F356</f>
        <v>7.0561342281409294</v>
      </c>
    </row>
    <row r="73" spans="2:4" x14ac:dyDescent="0.2">
      <c r="B73" s="10">
        <f>'c'!D357</f>
        <v>13.982961507169735</v>
      </c>
      <c r="C73" s="10"/>
      <c r="D73" s="10">
        <f>'c'!F357</f>
        <v>7.1343626334186618</v>
      </c>
    </row>
    <row r="74" spans="2:4" x14ac:dyDescent="0.2">
      <c r="B74" s="10">
        <f>'c'!D358</f>
        <v>14.195796941711862</v>
      </c>
      <c r="C74" s="10"/>
      <c r="D74" s="10">
        <f>'c'!F358</f>
        <v>7.2123007736577289</v>
      </c>
    </row>
    <row r="75" spans="2:4" x14ac:dyDescent="0.2">
      <c r="B75" s="10">
        <f>'c'!D359</f>
        <v>14.408632376253989</v>
      </c>
      <c r="C75" s="10"/>
      <c r="D75" s="10">
        <f>'c'!F359</f>
        <v>7.2899540769058362</v>
      </c>
    </row>
    <row r="76" spans="2:4" x14ac:dyDescent="0.2">
      <c r="B76" s="10">
        <f>'c'!D360</f>
        <v>14.621467810796116</v>
      </c>
      <c r="C76" s="10"/>
      <c r="D76" s="10">
        <f>'c'!F360</f>
        <v>7.3673277866662845</v>
      </c>
    </row>
    <row r="77" spans="2:4" x14ac:dyDescent="0.2">
      <c r="B77" s="10">
        <f>'c'!D361</f>
        <v>14.834303245338242</v>
      </c>
      <c r="C77" s="10"/>
      <c r="D77" s="10">
        <f>'c'!F361</f>
        <v>7.4444269710484958</v>
      </c>
    </row>
    <row r="78" spans="2:4" x14ac:dyDescent="0.2">
      <c r="B78" s="72">
        <f>'c'!D362</f>
        <v>15.047138679880369</v>
      </c>
      <c r="C78" s="72"/>
      <c r="D78" s="72">
        <f>'c'!F362</f>
        <v>7.5212565313209341</v>
      </c>
    </row>
    <row r="79" spans="2:4" x14ac:dyDescent="0.2">
      <c r="B79" s="10">
        <f>'c'!D363</f>
        <v>15.259974114422496</v>
      </c>
      <c r="C79" s="10"/>
      <c r="D79" s="10">
        <f>'c'!F363</f>
        <v>7.5978212099147466</v>
      </c>
    </row>
    <row r="80" spans="2:4" x14ac:dyDescent="0.2">
      <c r="B80" s="10">
        <f>'c'!D364</f>
        <v>15.472809548964623</v>
      </c>
      <c r="C80" s="10"/>
      <c r="D80" s="10">
        <f>'c'!F364</f>
        <v>7.6741255979219227</v>
      </c>
    </row>
    <row r="81" spans="2:4" x14ac:dyDescent="0.2">
      <c r="B81" s="10">
        <f>'c'!D365</f>
        <v>15.68564498350675</v>
      </c>
      <c r="C81" s="10"/>
      <c r="D81" s="10">
        <f>'c'!F365</f>
        <v>7.7501741421274861</v>
      </c>
    </row>
    <row r="82" spans="2:4" x14ac:dyDescent="0.2">
      <c r="B82" s="10">
        <f>'c'!D366</f>
        <v>15.898480418048877</v>
      </c>
      <c r="C82" s="10"/>
      <c r="D82" s="10">
        <f>'c'!F366</f>
        <v>7.8259711516116504</v>
      </c>
    </row>
    <row r="83" spans="2:4" x14ac:dyDescent="0.2">
      <c r="B83" s="10">
        <f>'c'!D367</f>
        <v>16.111315852591002</v>
      </c>
      <c r="C83" s="10"/>
      <c r="D83" s="10">
        <f>'c'!F367</f>
        <v>7.9015208039545151</v>
      </c>
    </row>
    <row r="84" spans="2:4" x14ac:dyDescent="0.2">
      <c r="B84" s="10">
        <f>'c'!D368</f>
        <v>16.324151287133127</v>
      </c>
      <c r="C84" s="10"/>
      <c r="D84" s="10">
        <f>'c'!F368</f>
        <v>7.9768271510730058</v>
      </c>
    </row>
    <row r="85" spans="2:4" x14ac:dyDescent="0.2">
      <c r="B85" s="72">
        <f>'c'!D369</f>
        <v>16.536986721675252</v>
      </c>
      <c r="C85" s="72"/>
      <c r="D85" s="72">
        <f>'c'!F369</f>
        <v>8.0518941247170073</v>
      </c>
    </row>
    <row r="86" spans="2:4" x14ac:dyDescent="0.2">
      <c r="B86" s="10">
        <f>'c'!D370</f>
        <v>16.749822156217377</v>
      </c>
      <c r="C86" s="10"/>
      <c r="D86" s="10">
        <f>'c'!F370</f>
        <v>8.1267255416494315</v>
      </c>
    </row>
    <row r="87" spans="2:4" x14ac:dyDescent="0.2">
      <c r="B87" s="10">
        <f>'c'!D371</f>
        <v>16.962657590759502</v>
      </c>
      <c r="C87" s="10"/>
      <c r="D87" s="10">
        <f>'c'!F371</f>
        <v>8.2013251085326946</v>
      </c>
    </row>
    <row r="88" spans="2:4" x14ac:dyDescent="0.2">
      <c r="B88" s="10">
        <f>'c'!D372</f>
        <v>17.175493025301627</v>
      </c>
      <c r="C88" s="10"/>
      <c r="D88" s="10">
        <f>'c'!F372</f>
        <v>8.2756964265422575</v>
      </c>
    </row>
    <row r="89" spans="2:4" x14ac:dyDescent="0.2">
      <c r="B89" s="10">
        <f>'c'!D373</f>
        <v>17.388328459843752</v>
      </c>
      <c r="C89" s="10"/>
      <c r="D89" s="10">
        <f>'c'!F373</f>
        <v>8.3498429957261013</v>
      </c>
    </row>
    <row r="90" spans="2:4" x14ac:dyDescent="0.2">
      <c r="B90" s="10">
        <f>'c'!D374</f>
        <v>17.601163894385877</v>
      </c>
      <c r="C90" s="10"/>
      <c r="D90" s="10">
        <f>'c'!F374</f>
        <v>8.4237682191274885</v>
      </c>
    </row>
    <row r="91" spans="2:4" x14ac:dyDescent="0.2">
      <c r="B91" s="72">
        <f>'c'!D375</f>
        <v>17.813999328928002</v>
      </c>
      <c r="C91" s="72"/>
      <c r="D91" s="72">
        <f>'c'!F375</f>
        <v>8.4974754066869398</v>
      </c>
    </row>
    <row r="92" spans="2:4" x14ac:dyDescent="0.2">
      <c r="B92" s="10">
        <f>'c'!D376</f>
        <v>18.026834763470127</v>
      </c>
      <c r="C92" s="10"/>
      <c r="D92" s="10">
        <f>'c'!F376</f>
        <v>8.5709677789380798</v>
      </c>
    </row>
    <row r="93" spans="2:4" x14ac:dyDescent="0.2">
      <c r="B93" s="10">
        <f>'c'!D377</f>
        <v>18.239670198012252</v>
      </c>
      <c r="C93" s="10"/>
      <c r="D93" s="10">
        <f>'c'!F377</f>
        <v>8.6442484705107994</v>
      </c>
    </row>
    <row r="94" spans="2:4" x14ac:dyDescent="0.2">
      <c r="B94" s="10">
        <f>'c'!D378</f>
        <v>18.452505632554377</v>
      </c>
      <c r="C94" s="10"/>
      <c r="D94" s="10">
        <f>'c'!F378</f>
        <v>8.7173205334542683</v>
      </c>
    </row>
    <row r="95" spans="2:4" x14ac:dyDescent="0.2">
      <c r="B95" s="10">
        <f>'c'!D379</f>
        <v>18.878176501638631</v>
      </c>
      <c r="C95" s="10"/>
      <c r="D95" s="10">
        <f>'c'!F379</f>
        <v>8.8628505875138508</v>
      </c>
    </row>
    <row r="96" spans="2:4" x14ac:dyDescent="0.2">
      <c r="B96" s="72">
        <f>'c'!D380</f>
        <v>19.303847370722885</v>
      </c>
      <c r="C96" s="72"/>
      <c r="D96" s="72">
        <f>'c'!F380</f>
        <v>9.0075808218821223</v>
      </c>
    </row>
    <row r="97" spans="2:4" x14ac:dyDescent="0.2">
      <c r="B97" s="10">
        <f>'c'!D381</f>
        <v>19.729518239807138</v>
      </c>
      <c r="C97" s="10"/>
      <c r="D97" s="10">
        <f>'c'!F381</f>
        <v>9.1515329822958833</v>
      </c>
    </row>
    <row r="98" spans="2:4" x14ac:dyDescent="0.2">
      <c r="B98" s="10">
        <f>'c'!D382</f>
        <v>20.155189108891392</v>
      </c>
      <c r="C98" s="10"/>
      <c r="D98" s="10">
        <f>'c'!F382</f>
        <v>9.2947277601081097</v>
      </c>
    </row>
    <row r="99" spans="2:4" x14ac:dyDescent="0.2">
      <c r="B99" s="10">
        <f>'c'!D383</f>
        <v>20.580859977975646</v>
      </c>
      <c r="C99" s="10"/>
      <c r="D99" s="10">
        <f>'c'!F383</f>
        <v>9.437184865503065</v>
      </c>
    </row>
    <row r="100" spans="2:4" x14ac:dyDescent="0.2">
      <c r="B100" s="10">
        <f>'c'!D384</f>
        <v>21.006530847059899</v>
      </c>
      <c r="C100" s="10"/>
      <c r="D100" s="10">
        <f>'c'!F384</f>
        <v>9.5789230941196593</v>
      </c>
    </row>
    <row r="101" spans="2:4" x14ac:dyDescent="0.2">
      <c r="B101" s="10">
        <f>'c'!D385</f>
        <v>21.432201716144153</v>
      </c>
      <c r="C101" s="10"/>
      <c r="D101" s="10">
        <f>'c'!F385</f>
        <v>9.7199603878095537</v>
      </c>
    </row>
    <row r="102" spans="2:4" x14ac:dyDescent="0.2">
      <c r="B102" s="10">
        <f>'c'!D386</f>
        <v>21.857872585228407</v>
      </c>
      <c r="C102" s="10"/>
      <c r="D102" s="10">
        <f>'c'!F386</f>
        <v>9.8603138901621428</v>
      </c>
    </row>
    <row r="103" spans="2:4" x14ac:dyDescent="0.2">
      <c r="B103" s="10">
        <f>'c'!D387</f>
        <v>22.28354345431266</v>
      </c>
      <c r="C103" s="10"/>
      <c r="D103" s="10">
        <f>'c'!F387</f>
        <v>9.9999999973481977</v>
      </c>
    </row>
  </sheetData>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58D04-8184-4BA9-8A6A-C6C61FC827CC}">
  <sheetPr codeName="Sheet7"/>
  <dimension ref="A1:Q125"/>
  <sheetViews>
    <sheetView zoomScaleNormal="100" workbookViewId="0"/>
  </sheetViews>
  <sheetFormatPr defaultRowHeight="15" x14ac:dyDescent="0.2"/>
  <cols>
    <col min="1" max="1" width="1.7109375" style="24" customWidth="1"/>
    <col min="2" max="2" width="1.7109375" style="25" customWidth="1"/>
    <col min="3" max="3" width="9.42578125" bestFit="1" customWidth="1"/>
  </cols>
  <sheetData>
    <row r="1" spans="1:5" x14ac:dyDescent="0.2">
      <c r="A1" s="24" t="s">
        <v>855</v>
      </c>
    </row>
    <row r="2" spans="1:5" x14ac:dyDescent="0.2">
      <c r="C2" s="5" t="s">
        <v>856</v>
      </c>
      <c r="D2" s="10">
        <v>1</v>
      </c>
      <c r="E2" s="5" t="s">
        <v>857</v>
      </c>
    </row>
    <row r="5" spans="1:5" x14ac:dyDescent="0.2">
      <c r="A5" s="24" t="s">
        <v>301</v>
      </c>
    </row>
    <row r="6" spans="1:5" x14ac:dyDescent="0.2">
      <c r="C6" s="5" t="s">
        <v>302</v>
      </c>
      <c r="D6">
        <f>60/30000</f>
        <v>2E-3</v>
      </c>
    </row>
    <row r="7" spans="1:5" x14ac:dyDescent="0.2">
      <c r="C7" s="5" t="s">
        <v>304</v>
      </c>
      <c r="D7">
        <v>2.0131684841798218E-2</v>
      </c>
    </row>
    <row r="8" spans="1:5" ht="16.5" x14ac:dyDescent="0.25">
      <c r="C8" s="5" t="s">
        <v>303</v>
      </c>
      <c r="D8">
        <f>0.5*PI()^2*D7^2</f>
        <v>2.0000000000006762E-3</v>
      </c>
      <c r="E8" s="11" t="s">
        <v>305</v>
      </c>
    </row>
    <row r="9" spans="1:5" x14ac:dyDescent="0.2">
      <c r="C9" s="5" t="s">
        <v>306</v>
      </c>
      <c r="D9">
        <f>D8/D6</f>
        <v>1.000000000000338</v>
      </c>
    </row>
    <row r="12" spans="1:5" x14ac:dyDescent="0.2">
      <c r="A12" s="24" t="s">
        <v>328</v>
      </c>
    </row>
    <row r="13" spans="1:5" x14ac:dyDescent="0.2">
      <c r="C13" s="5" t="s">
        <v>335</v>
      </c>
      <c r="D13" s="10">
        <f>ROW(m!AE126)</f>
        <v>126</v>
      </c>
      <c r="E13" s="5" t="s">
        <v>336</v>
      </c>
    </row>
    <row r="14" spans="1:5" x14ac:dyDescent="0.2">
      <c r="C14" s="5" t="s">
        <v>333</v>
      </c>
      <c r="D14" s="10">
        <f>ROW(m!AE68)</f>
        <v>68</v>
      </c>
      <c r="E14" s="5" t="s">
        <v>517</v>
      </c>
    </row>
    <row r="15" spans="1:5" x14ac:dyDescent="0.2">
      <c r="C15" s="5" t="s">
        <v>334</v>
      </c>
      <c r="D15" s="10">
        <f>iexcl-1</f>
        <v>125</v>
      </c>
      <c r="E15" s="5" t="s">
        <v>518</v>
      </c>
    </row>
    <row r="16" spans="1:5" x14ac:dyDescent="0.2">
      <c r="C16" s="5" t="s">
        <v>844</v>
      </c>
      <c r="D16" s="10">
        <f>ROW(m!AE148)</f>
        <v>148</v>
      </c>
      <c r="E16" s="5" t="s">
        <v>846</v>
      </c>
    </row>
    <row r="17" spans="1:15" x14ac:dyDescent="0.2">
      <c r="C17" s="5" t="s">
        <v>845</v>
      </c>
      <c r="D17" s="10">
        <f>ROW(m!AE155)</f>
        <v>155</v>
      </c>
      <c r="E17" s="5" t="s">
        <v>847</v>
      </c>
    </row>
    <row r="18" spans="1:15" x14ac:dyDescent="0.2">
      <c r="C18" s="5"/>
      <c r="D18" s="10"/>
      <c r="E18" s="5"/>
    </row>
    <row r="19" spans="1:15" x14ac:dyDescent="0.2">
      <c r="C19" s="5" t="s">
        <v>329</v>
      </c>
      <c r="D19" s="10">
        <f>COLUMN(m!AF126)</f>
        <v>32</v>
      </c>
      <c r="E19" s="5" t="s">
        <v>330</v>
      </c>
    </row>
    <row r="20" spans="1:15" x14ac:dyDescent="0.2">
      <c r="C20" s="5" t="s">
        <v>331</v>
      </c>
      <c r="D20" s="10">
        <f>COLUMN(m!FK126)</f>
        <v>167</v>
      </c>
      <c r="E20" s="5" t="s">
        <v>332</v>
      </c>
      <c r="N20">
        <f>COLUMN(m!FK126)</f>
        <v>167</v>
      </c>
      <c r="O20">
        <f>COLUMN(m!FK3)</f>
        <v>167</v>
      </c>
    </row>
    <row r="22" spans="1:15" x14ac:dyDescent="0.2">
      <c r="C22" s="5" t="s">
        <v>513</v>
      </c>
      <c r="D22" s="10">
        <f>ROW(m!AE127)</f>
        <v>127</v>
      </c>
      <c r="E22" s="5" t="s">
        <v>517</v>
      </c>
    </row>
    <row r="23" spans="1:15" x14ac:dyDescent="0.2">
      <c r="C23" s="5" t="s">
        <v>514</v>
      </c>
      <c r="D23" s="10">
        <f>ROW(m!AE147)</f>
        <v>147</v>
      </c>
      <c r="E23" s="5" t="s">
        <v>518</v>
      </c>
    </row>
    <row r="24" spans="1:15" x14ac:dyDescent="0.2">
      <c r="C24" s="5" t="s">
        <v>515</v>
      </c>
      <c r="D24" s="10">
        <f>ROW(m!AE129)</f>
        <v>129</v>
      </c>
      <c r="E24" t="s">
        <v>516</v>
      </c>
    </row>
    <row r="27" spans="1:15" x14ac:dyDescent="0.2">
      <c r="A27" s="24" t="s">
        <v>578</v>
      </c>
    </row>
    <row r="28" spans="1:15" x14ac:dyDescent="0.2">
      <c r="C28" s="5" t="s">
        <v>581</v>
      </c>
    </row>
    <row r="29" spans="1:15" x14ac:dyDescent="0.2">
      <c r="C29" s="5" t="s">
        <v>582</v>
      </c>
      <c r="D29" s="5" t="s">
        <v>67</v>
      </c>
    </row>
    <row r="30" spans="1:15" x14ac:dyDescent="0.2">
      <c r="C30" s="65" t="s">
        <v>579</v>
      </c>
      <c r="D30" s="5" t="s">
        <v>580</v>
      </c>
    </row>
    <row r="34" spans="1:5" x14ac:dyDescent="0.2">
      <c r="A34" s="24" t="s">
        <v>802</v>
      </c>
    </row>
    <row r="35" spans="1:5" x14ac:dyDescent="0.2">
      <c r="C35" s="5" t="s">
        <v>807</v>
      </c>
    </row>
    <row r="36" spans="1:5" x14ac:dyDescent="0.2">
      <c r="D36" t="b">
        <f>AND(D37:D100)</f>
        <v>1</v>
      </c>
      <c r="E36" s="5" t="s">
        <v>803</v>
      </c>
    </row>
    <row r="37" spans="1:5" x14ac:dyDescent="0.2">
      <c r="C37" t="str">
        <f>'c'!F15</f>
        <v>TestSeries</v>
      </c>
      <c r="D37" t="b">
        <f>'c'!F15=m!AE3</f>
        <v>1</v>
      </c>
      <c r="E37" s="5" t="s">
        <v>804</v>
      </c>
    </row>
    <row r="38" spans="1:5" x14ac:dyDescent="0.2">
      <c r="C38" t="str">
        <f>'c'!F16</f>
        <v>TestID</v>
      </c>
      <c r="D38" t="b">
        <f>'c'!F16=m!AE4</f>
        <v>1</v>
      </c>
      <c r="E38" s="5" t="s">
        <v>805</v>
      </c>
    </row>
    <row r="39" spans="1:5" x14ac:dyDescent="0.2">
      <c r="C39" t="str">
        <f>'c'!F17</f>
        <v>pctGap</v>
      </c>
      <c r="D39" t="b">
        <f>'c'!F17=m!AE5</f>
        <v>1</v>
      </c>
      <c r="E39" s="5" t="s">
        <v>806</v>
      </c>
    </row>
    <row r="40" spans="1:5" x14ac:dyDescent="0.2">
      <c r="C40" t="str">
        <f>'c'!F18</f>
        <v>starttime</v>
      </c>
      <c r="D40" t="b">
        <f>'c'!F18=m!AE6</f>
        <v>1</v>
      </c>
    </row>
    <row r="41" spans="1:5" x14ac:dyDescent="0.2">
      <c r="C41" t="str">
        <f>'c'!F19</f>
        <v>stoptime</v>
      </c>
      <c r="D41" t="b">
        <f>'c'!F19=m!AE7</f>
        <v>1</v>
      </c>
    </row>
    <row r="42" spans="1:5" x14ac:dyDescent="0.2">
      <c r="C42" t="str">
        <f>'c'!F20</f>
        <v>startdatum</v>
      </c>
      <c r="D42" t="b">
        <f>'c'!F20=m!AE8</f>
        <v>1</v>
      </c>
    </row>
    <row r="43" spans="1:5" x14ac:dyDescent="0.2">
      <c r="C43" t="str">
        <f>'c'!F21</f>
        <v>stopdatum</v>
      </c>
      <c r="D43" t="b">
        <f>'c'!F21=m!AE9</f>
        <v>1</v>
      </c>
    </row>
    <row r="44" spans="1:5" x14ac:dyDescent="0.2">
      <c r="C44" t="str">
        <f>'c'!F22</f>
        <v>fs</v>
      </c>
      <c r="D44" t="b">
        <f>'c'!F22=m!AE10</f>
        <v>1</v>
      </c>
    </row>
    <row r="45" spans="1:5" x14ac:dyDescent="0.2">
      <c r="C45" t="str">
        <f>'c'!F23</f>
        <v>ipf</v>
      </c>
      <c r="D45" t="b">
        <f>'c'!F23=m!AE11</f>
        <v>1</v>
      </c>
    </row>
    <row r="46" spans="1:5" x14ac:dyDescent="0.2">
      <c r="C46" t="str">
        <f>'c'!F24</f>
        <v>nu</v>
      </c>
      <c r="D46" t="b">
        <f>'c'!F24=m!AE12</f>
        <v>1</v>
      </c>
    </row>
    <row r="47" spans="1:5" x14ac:dyDescent="0.2">
      <c r="C47" t="str">
        <f>'c'!F25</f>
        <v>Lspan</v>
      </c>
      <c r="D47" t="b">
        <f>'c'!F25=m!AE13</f>
        <v>1</v>
      </c>
    </row>
    <row r="48" spans="1:5" x14ac:dyDescent="0.2">
      <c r="C48" t="str">
        <f>'c'!F26</f>
        <v>Lu</v>
      </c>
      <c r="D48" t="b">
        <f>'c'!F26=m!AE14</f>
        <v>1</v>
      </c>
    </row>
    <row r="49" spans="3:4" x14ac:dyDescent="0.2">
      <c r="C49" t="str">
        <f>'c'!F27</f>
        <v>Uc</v>
      </c>
      <c r="D49" t="b">
        <f>'c'!F27=m!AE15</f>
        <v>1</v>
      </c>
    </row>
    <row r="50" spans="3:4" x14ac:dyDescent="0.2">
      <c r="C50" t="str">
        <f>'c'!F28</f>
        <v>stdU</v>
      </c>
      <c r="D50" t="b">
        <f>'c'!F28=m!AE16</f>
        <v>1</v>
      </c>
    </row>
    <row r="51" spans="3:4" x14ac:dyDescent="0.2">
      <c r="C51" t="str">
        <f>'c'!F29</f>
        <v>Epipe</v>
      </c>
      <c r="D51" t="b">
        <f>'c'!F29=m!AE17</f>
        <v>1</v>
      </c>
    </row>
    <row r="52" spans="3:4" x14ac:dyDescent="0.2">
      <c r="C52" t="str">
        <f>'c'!F30</f>
        <v>EI</v>
      </c>
      <c r="D52" t="b">
        <f>'c'!F30=m!AE18</f>
        <v>1</v>
      </c>
    </row>
    <row r="53" spans="3:4" x14ac:dyDescent="0.2">
      <c r="C53" t="str">
        <f>'c'!F31</f>
        <v>ro_w</v>
      </c>
      <c r="D53" t="b">
        <f>'c'!F31=m!AE19</f>
        <v>1</v>
      </c>
    </row>
    <row r="54" spans="3:4" x14ac:dyDescent="0.2">
      <c r="C54" t="str">
        <f>'c'!F32</f>
        <v>Dc</v>
      </c>
      <c r="D54" t="b">
        <f>'c'!F32=m!AE20</f>
        <v>1</v>
      </c>
    </row>
    <row r="55" spans="3:4" x14ac:dyDescent="0.2">
      <c r="C55" t="str">
        <f>'c'!F33</f>
        <v>m_air</v>
      </c>
      <c r="D55" t="b">
        <f>'c'!F33=m!AE21</f>
        <v>1</v>
      </c>
    </row>
    <row r="56" spans="3:4" x14ac:dyDescent="0.2">
      <c r="C56" t="str">
        <f>'c'!F34</f>
        <v>m_sub</v>
      </c>
      <c r="D56" t="b">
        <f>'c'!F34=m!AE22</f>
        <v>1</v>
      </c>
    </row>
    <row r="57" spans="3:4" x14ac:dyDescent="0.2">
      <c r="C57" t="str">
        <f>'c'!F35</f>
        <v>mratio</v>
      </c>
      <c r="D57" t="b">
        <f>'c'!F35=m!AE23</f>
        <v>1</v>
      </c>
    </row>
    <row r="58" spans="3:4" x14ac:dyDescent="0.2">
      <c r="C58" t="str">
        <f>'c'!F36</f>
        <v>EA</v>
      </c>
      <c r="D58" t="b">
        <f>'c'!F36=m!AE24</f>
        <v>1</v>
      </c>
    </row>
    <row r="59" spans="3:4" x14ac:dyDescent="0.2">
      <c r="C59" t="str">
        <f>'c'!F37</f>
        <v>N_g</v>
      </c>
      <c r="D59" t="b">
        <f>'c'!F37=m!AE25</f>
        <v>1</v>
      </c>
    </row>
    <row r="60" spans="3:4" x14ac:dyDescent="0.2">
      <c r="C60" t="str">
        <f>'c'!F38</f>
        <v>Navg</v>
      </c>
      <c r="D60" t="b">
        <f>'c'!F38=m!AE26</f>
        <v>1</v>
      </c>
    </row>
    <row r="61" spans="3:4" x14ac:dyDescent="0.2">
      <c r="C61" t="str">
        <f>'c'!F39</f>
        <v>Nstd</v>
      </c>
      <c r="D61" t="b">
        <f>'c'!F39=m!AE27</f>
        <v>1</v>
      </c>
    </row>
    <row r="62" spans="3:4" x14ac:dyDescent="0.2">
      <c r="C62" t="str">
        <f>'c'!F40</f>
        <v>fpN</v>
      </c>
      <c r="D62" t="b">
        <f>'c'!F40=m!AE28</f>
        <v>1</v>
      </c>
    </row>
    <row r="63" spans="3:4" x14ac:dyDescent="0.2">
      <c r="C63" t="str">
        <f>'c'!F41</f>
        <v>DispCF_max</v>
      </c>
      <c r="D63" t="b">
        <f>'c'!F41=m!AE29</f>
        <v>1</v>
      </c>
    </row>
    <row r="64" spans="3:4" x14ac:dyDescent="0.2">
      <c r="C64" t="str">
        <f>'c'!F42</f>
        <v>DispCF_maxloc</v>
      </c>
      <c r="D64" t="b">
        <f>'c'!F42=m!AE30</f>
        <v>1</v>
      </c>
    </row>
    <row r="65" spans="3:4" x14ac:dyDescent="0.2">
      <c r="C65" t="str">
        <f>'c'!F43</f>
        <v>DispCF_rms</v>
      </c>
      <c r="D65" t="b">
        <f>'c'!F43=m!AE31</f>
        <v>1</v>
      </c>
    </row>
    <row r="66" spans="3:4" x14ac:dyDescent="0.2">
      <c r="C66" t="str">
        <f>'c'!F44</f>
        <v>DispCF_rmsloc</v>
      </c>
      <c r="D66" t="b">
        <f>'c'!F44=m!AE32</f>
        <v>1</v>
      </c>
    </row>
    <row r="67" spans="3:4" x14ac:dyDescent="0.2">
      <c r="C67" t="str">
        <f>'c'!F45</f>
        <v>DispIL_max</v>
      </c>
      <c r="D67" t="b">
        <f>'c'!F45=m!AE33</f>
        <v>1</v>
      </c>
    </row>
    <row r="68" spans="3:4" x14ac:dyDescent="0.2">
      <c r="C68" t="str">
        <f>'c'!F46</f>
        <v>DispIL_maxloc</v>
      </c>
      <c r="D68" t="b">
        <f>'c'!F46=m!AE34</f>
        <v>1</v>
      </c>
    </row>
    <row r="69" spans="3:4" x14ac:dyDescent="0.2">
      <c r="C69" t="str">
        <f>'c'!F47</f>
        <v>DispIL_rms</v>
      </c>
      <c r="D69" t="b">
        <f>'c'!F47=m!AE35</f>
        <v>1</v>
      </c>
    </row>
    <row r="70" spans="3:4" x14ac:dyDescent="0.2">
      <c r="C70" t="str">
        <f>'c'!F48</f>
        <v>DispIL_rmsloc</v>
      </c>
      <c r="D70" t="b">
        <f>'c'!F48=m!AE36</f>
        <v>1</v>
      </c>
    </row>
    <row r="71" spans="3:4" x14ac:dyDescent="0.2">
      <c r="C71" t="str">
        <f>'c'!F49</f>
        <v>epsCF_max</v>
      </c>
      <c r="D71" t="b">
        <f>'c'!F49=m!AE37</f>
        <v>1</v>
      </c>
    </row>
    <row r="72" spans="3:4" x14ac:dyDescent="0.2">
      <c r="C72" t="str">
        <f>'c'!F50</f>
        <v>epsCF_maxloc</v>
      </c>
      <c r="D72" t="b">
        <f>'c'!F50=m!AE38</f>
        <v>1</v>
      </c>
    </row>
    <row r="73" spans="3:4" x14ac:dyDescent="0.2">
      <c r="C73" t="str">
        <f>'c'!F51</f>
        <v>epsCF_rms</v>
      </c>
      <c r="D73" t="b">
        <f>'c'!F51=m!AE39</f>
        <v>1</v>
      </c>
    </row>
    <row r="74" spans="3:4" x14ac:dyDescent="0.2">
      <c r="C74" t="str">
        <f>'c'!F52</f>
        <v>epsCF_rmsloc</v>
      </c>
      <c r="D74" t="b">
        <f>'c'!F52=m!AE40</f>
        <v>1</v>
      </c>
    </row>
    <row r="75" spans="3:4" x14ac:dyDescent="0.2">
      <c r="C75" t="str">
        <f>'c'!F53</f>
        <v>epsIL_max</v>
      </c>
      <c r="D75" t="b">
        <f>'c'!F53=m!AE41</f>
        <v>1</v>
      </c>
    </row>
    <row r="76" spans="3:4" x14ac:dyDescent="0.2">
      <c r="C76" t="str">
        <f>'c'!F54</f>
        <v>epsIL_maxloc</v>
      </c>
      <c r="D76" t="b">
        <f>'c'!F54=m!AE42</f>
        <v>1</v>
      </c>
    </row>
    <row r="77" spans="3:4" x14ac:dyDescent="0.2">
      <c r="C77" t="str">
        <f>'c'!F55</f>
        <v>epsIL_rms</v>
      </c>
      <c r="D77" t="b">
        <f>'c'!F55=m!AE43</f>
        <v>1</v>
      </c>
    </row>
    <row r="78" spans="3:4" x14ac:dyDescent="0.2">
      <c r="C78" t="str">
        <f>'c'!F56</f>
        <v>epsIL_rmsloc</v>
      </c>
      <c r="D78" t="b">
        <f>'c'!F56=m!AE44</f>
        <v>1</v>
      </c>
    </row>
    <row r="79" spans="3:4" x14ac:dyDescent="0.2">
      <c r="C79" t="str">
        <f>'c'!F57</f>
        <v>lambdaCF</v>
      </c>
      <c r="D79" t="b">
        <f>'c'!F57=m!AE45</f>
        <v>1</v>
      </c>
    </row>
    <row r="80" spans="3:4" x14ac:dyDescent="0.2">
      <c r="C80" t="str">
        <f>'c'!F58</f>
        <v>lambdaIL</v>
      </c>
      <c r="D80" t="b">
        <f>'c'!F58=m!AE46</f>
        <v>1</v>
      </c>
    </row>
    <row r="81" spans="3:4" x14ac:dyDescent="0.2">
      <c r="C81" t="str">
        <f>'c'!F59</f>
        <v>FzcCF_rmseps</v>
      </c>
      <c r="D81" t="b">
        <f>'c'!F59=m!AE47</f>
        <v>1</v>
      </c>
    </row>
    <row r="82" spans="3:4" x14ac:dyDescent="0.2">
      <c r="C82" t="str">
        <f>'c'!F60</f>
        <v>FzcIL_rmseps</v>
      </c>
      <c r="D82" t="b">
        <f>'c'!F60=m!AE48</f>
        <v>1</v>
      </c>
    </row>
    <row r="83" spans="3:4" x14ac:dyDescent="0.2">
      <c r="C83" t="str">
        <f>'c'!F61</f>
        <v>FzsCF_rmseps</v>
      </c>
      <c r="D83" t="b">
        <f>'c'!F61=m!AE49</f>
        <v>1</v>
      </c>
    </row>
    <row r="84" spans="3:4" x14ac:dyDescent="0.2">
      <c r="C84" t="str">
        <f>'c'!F62</f>
        <v>FzsIL_rmseps</v>
      </c>
      <c r="D84" t="b">
        <f>'c'!F62=m!AE50</f>
        <v>1</v>
      </c>
    </row>
    <row r="85" spans="3:4" x14ac:dyDescent="0.2">
      <c r="C85" t="str">
        <f>'c'!F63</f>
        <v>FpCF_rmseps</v>
      </c>
      <c r="D85" t="b">
        <f>'c'!F63=m!AE51</f>
        <v>1</v>
      </c>
    </row>
    <row r="86" spans="3:4" x14ac:dyDescent="0.2">
      <c r="C86" t="str">
        <f>'c'!F64</f>
        <v>FpIL_rmseps</v>
      </c>
      <c r="D86" t="b">
        <f>'c'!F64=m!AE52</f>
        <v>1</v>
      </c>
    </row>
    <row r="87" spans="3:4" x14ac:dyDescent="0.2">
      <c r="C87" t="str">
        <f>'c'!F65</f>
        <v>FfatCF_rmseps</v>
      </c>
      <c r="D87" t="b">
        <f>'c'!F65=m!AE53</f>
        <v>1</v>
      </c>
    </row>
    <row r="88" spans="3:4" x14ac:dyDescent="0.2">
      <c r="C88" t="str">
        <f>'c'!F66</f>
        <v>FfatIL_rmseps</v>
      </c>
      <c r="D88" t="b">
        <f>'c'!F66=m!AE54</f>
        <v>1</v>
      </c>
    </row>
    <row r="89" spans="3:4" x14ac:dyDescent="0.2">
      <c r="C89" t="str">
        <f>'c'!F67</f>
        <v>FDR_CF</v>
      </c>
      <c r="D89" t="b">
        <f>'c'!F67=m!AE55</f>
        <v>1</v>
      </c>
    </row>
    <row r="90" spans="3:4" x14ac:dyDescent="0.2">
      <c r="C90" t="str">
        <f>'c'!F68</f>
        <v>FDR_IL</v>
      </c>
      <c r="D90" t="b">
        <f>'c'!F68=m!AE56</f>
        <v>1</v>
      </c>
    </row>
    <row r="91" spans="3:4" x14ac:dyDescent="0.2">
      <c r="C91" t="str">
        <f>'c'!F69</f>
        <v>Nfail_CF</v>
      </c>
      <c r="D91" t="b">
        <f>'c'!F69=m!AE57</f>
        <v>1</v>
      </c>
    </row>
    <row r="92" spans="3:4" x14ac:dyDescent="0.2">
      <c r="C92" t="str">
        <f>'c'!F70</f>
        <v>Nfail_IL</v>
      </c>
      <c r="D92" t="b">
        <f>'c'!F70=m!AE58</f>
        <v>1</v>
      </c>
    </row>
    <row r="93" spans="3:4" x14ac:dyDescent="0.2">
      <c r="C93" t="str">
        <f>'c'!F71</f>
        <v>nlCF</v>
      </c>
      <c r="D93" t="b">
        <f>'c'!F71=m!AE59</f>
        <v>1</v>
      </c>
    </row>
    <row r="94" spans="3:4" x14ac:dyDescent="0.2">
      <c r="C94" t="str">
        <f>'c'!F72</f>
        <v>nlIL</v>
      </c>
      <c r="D94" t="b">
        <f>'c'!F72=m!AE60</f>
        <v>1</v>
      </c>
    </row>
    <row r="95" spans="3:4" x14ac:dyDescent="0.2">
      <c r="C95" t="str">
        <f>'c'!F73</f>
        <v>kxend</v>
      </c>
      <c r="D95" t="b">
        <f>'c'!F73=m!AE61</f>
        <v>1</v>
      </c>
    </row>
    <row r="96" spans="3:4" x14ac:dyDescent="0.2">
      <c r="C96" t="str">
        <f>'c'!F74</f>
        <v>krough</v>
      </c>
      <c r="D96" t="b">
        <f>'c'!F74=m!AE62</f>
        <v>1</v>
      </c>
    </row>
    <row r="97" spans="1:17" x14ac:dyDescent="0.2">
      <c r="C97" t="str">
        <f>'c'!F75</f>
        <v>AoDmax</v>
      </c>
      <c r="D97" t="b">
        <f>'c'!F75=m!AE63</f>
        <v>1</v>
      </c>
    </row>
    <row r="98" spans="1:17" x14ac:dyDescent="0.2">
      <c r="C98" t="str">
        <f>'c'!F76</f>
        <v>AmbBeh</v>
      </c>
      <c r="D98" t="b">
        <f>'c'!F76=m!AE64</f>
        <v>1</v>
      </c>
    </row>
    <row r="99" spans="1:17" x14ac:dyDescent="0.2">
      <c r="C99" t="str">
        <f>'c'!F77</f>
        <v>ExcDisp</v>
      </c>
      <c r="D99" t="b">
        <f>'c'!F77=m!AE65</f>
        <v>1</v>
      </c>
    </row>
    <row r="100" spans="1:17" x14ac:dyDescent="0.2">
      <c r="C100" t="str">
        <f>'c'!F78</f>
        <v>m_clump</v>
      </c>
      <c r="D100" t="b">
        <f>'c'!F78=m!AE66</f>
        <v>1</v>
      </c>
    </row>
    <row r="103" spans="1:17" x14ac:dyDescent="0.2">
      <c r="A103" s="24" t="s">
        <v>819</v>
      </c>
    </row>
    <row r="104" spans="1:17" ht="15.75" thickBot="1" x14ac:dyDescent="0.25"/>
    <row r="105" spans="1:17" ht="15.75" thickBot="1" x14ac:dyDescent="0.25">
      <c r="C105" s="88" t="s">
        <v>9</v>
      </c>
      <c r="D105" s="88" t="s">
        <v>820</v>
      </c>
      <c r="E105" s="90" t="s">
        <v>821</v>
      </c>
      <c r="F105" s="91"/>
      <c r="G105" s="90" t="s">
        <v>822</v>
      </c>
      <c r="H105" s="91"/>
      <c r="I105" s="90" t="s">
        <v>823</v>
      </c>
      <c r="J105" s="91"/>
      <c r="K105" s="88" t="s">
        <v>824</v>
      </c>
      <c r="L105" s="74" t="s">
        <v>825</v>
      </c>
      <c r="M105" s="74" t="s">
        <v>826</v>
      </c>
      <c r="O105" s="100" t="s">
        <v>841</v>
      </c>
      <c r="P105" s="91"/>
      <c r="Q105" s="5"/>
    </row>
    <row r="106" spans="1:17" ht="15.75" thickBot="1" x14ac:dyDescent="0.25">
      <c r="C106" s="89"/>
      <c r="D106" s="89"/>
      <c r="E106" s="75" t="s">
        <v>827</v>
      </c>
      <c r="F106" s="75" t="s">
        <v>828</v>
      </c>
      <c r="G106" s="75" t="s">
        <v>829</v>
      </c>
      <c r="H106" s="75" t="s">
        <v>830</v>
      </c>
      <c r="I106" s="75" t="s">
        <v>831</v>
      </c>
      <c r="J106" s="75" t="s">
        <v>832</v>
      </c>
      <c r="K106" s="99"/>
      <c r="L106" s="75" t="s">
        <v>833</v>
      </c>
      <c r="M106" s="75"/>
      <c r="O106" s="84" t="s">
        <v>842</v>
      </c>
      <c r="P106" s="75" t="s">
        <v>843</v>
      </c>
      <c r="Q106" s="81"/>
    </row>
    <row r="107" spans="1:17" ht="15.75" thickBot="1" x14ac:dyDescent="0.25">
      <c r="C107" s="97" t="s">
        <v>834</v>
      </c>
      <c r="D107" s="88">
        <v>1019</v>
      </c>
      <c r="E107" s="88">
        <v>0.5</v>
      </c>
      <c r="F107" s="88">
        <v>5</v>
      </c>
      <c r="G107" s="75">
        <v>16.98</v>
      </c>
      <c r="H107" s="75">
        <v>33.520000000000003</v>
      </c>
      <c r="I107" s="75">
        <v>0.154</v>
      </c>
      <c r="J107" s="75">
        <v>9.5000000000000001E-2</v>
      </c>
      <c r="K107" s="95">
        <v>2</v>
      </c>
      <c r="L107" s="75">
        <v>6.0000000000000001E-3</v>
      </c>
      <c r="M107" s="75"/>
      <c r="O107" s="85">
        <f>I107/0.03</f>
        <v>5.1333333333333337</v>
      </c>
      <c r="P107" s="75">
        <f t="shared" ref="P107:P109" si="0">J107/0.03</f>
        <v>3.166666666666667</v>
      </c>
    </row>
    <row r="108" spans="1:17" ht="15.75" thickBot="1" x14ac:dyDescent="0.25">
      <c r="C108" s="93"/>
      <c r="D108" s="96"/>
      <c r="E108" s="96"/>
      <c r="F108" s="96"/>
      <c r="G108" s="75">
        <v>16.98</v>
      </c>
      <c r="H108" s="75">
        <v>24.09</v>
      </c>
      <c r="I108" s="75">
        <v>0.154</v>
      </c>
      <c r="J108" s="75">
        <v>0.12</v>
      </c>
      <c r="K108" s="96"/>
      <c r="L108" s="75">
        <v>7.0000000000000001E-3</v>
      </c>
      <c r="M108" s="75"/>
      <c r="O108" s="85">
        <f t="shared" ref="O108:O109" si="1">I108/0.03</f>
        <v>5.1333333333333337</v>
      </c>
      <c r="P108" s="75">
        <f t="shared" si="0"/>
        <v>4</v>
      </c>
    </row>
    <row r="109" spans="1:17" ht="15.75" thickBot="1" x14ac:dyDescent="0.25">
      <c r="C109" s="98"/>
      <c r="D109" s="99"/>
      <c r="E109" s="99"/>
      <c r="F109" s="99"/>
      <c r="G109" s="75">
        <v>24.09</v>
      </c>
      <c r="H109" s="75">
        <v>32.32</v>
      </c>
      <c r="I109" s="75">
        <v>0.12</v>
      </c>
      <c r="J109" s="75">
        <v>8.5999999999999993E-2</v>
      </c>
      <c r="K109" s="99"/>
      <c r="L109" s="75">
        <v>8.0000000000000002E-3</v>
      </c>
      <c r="M109" s="75"/>
      <c r="O109" s="86">
        <f t="shared" si="1"/>
        <v>4</v>
      </c>
      <c r="P109" s="75">
        <f t="shared" si="0"/>
        <v>2.8666666666666667</v>
      </c>
    </row>
    <row r="110" spans="1:17" ht="168" x14ac:dyDescent="0.2">
      <c r="C110" s="92" t="s">
        <v>835</v>
      </c>
      <c r="D110" s="95">
        <v>1028</v>
      </c>
      <c r="E110" s="95">
        <v>1</v>
      </c>
      <c r="F110" s="95">
        <v>5</v>
      </c>
      <c r="G110" s="88">
        <v>28.54</v>
      </c>
      <c r="H110" s="88">
        <v>40.14</v>
      </c>
      <c r="I110" s="88">
        <v>0.22700000000000001</v>
      </c>
      <c r="J110" s="88">
        <v>5.8999999999999997E-2</v>
      </c>
      <c r="K110" s="95" t="s">
        <v>836</v>
      </c>
      <c r="L110" s="88">
        <v>1.4999999999999999E-2</v>
      </c>
      <c r="M110" s="76" t="s">
        <v>837</v>
      </c>
      <c r="O110" s="96">
        <f>I110/0.08</f>
        <v>2.8374999999999999</v>
      </c>
      <c r="P110" s="88">
        <f>J110/0.08</f>
        <v>0.73749999999999993</v>
      </c>
    </row>
    <row r="111" spans="1:17" x14ac:dyDescent="0.2">
      <c r="C111" s="93"/>
      <c r="D111" s="96"/>
      <c r="E111" s="96"/>
      <c r="F111" s="96"/>
      <c r="G111" s="96"/>
      <c r="H111" s="96"/>
      <c r="I111" s="96"/>
      <c r="J111" s="96"/>
      <c r="K111" s="96"/>
      <c r="L111" s="96"/>
      <c r="M111" s="77"/>
      <c r="O111" s="96"/>
      <c r="P111" s="96"/>
    </row>
    <row r="112" spans="1:17" ht="144.75" thickBot="1" x14ac:dyDescent="0.25">
      <c r="C112" s="94"/>
      <c r="D112" s="89"/>
      <c r="E112" s="89"/>
      <c r="F112" s="89"/>
      <c r="G112" s="89"/>
      <c r="H112" s="89"/>
      <c r="I112" s="89"/>
      <c r="J112" s="89"/>
      <c r="K112" s="89"/>
      <c r="L112" s="89"/>
      <c r="M112" s="78" t="s">
        <v>838</v>
      </c>
      <c r="O112" s="89"/>
      <c r="P112" s="89"/>
    </row>
    <row r="113" spans="1:16" ht="15.75" thickBot="1" x14ac:dyDescent="0.25">
      <c r="C113" s="79"/>
      <c r="D113" s="75"/>
      <c r="E113" s="75"/>
      <c r="F113" s="75"/>
      <c r="G113" s="75"/>
      <c r="H113" s="75"/>
      <c r="I113" s="75"/>
      <c r="J113" s="75"/>
      <c r="K113" s="75"/>
      <c r="L113" s="75"/>
      <c r="M113" s="80"/>
      <c r="O113" s="82"/>
      <c r="P113" s="75"/>
    </row>
    <row r="114" spans="1:16" ht="15.75" thickBot="1" x14ac:dyDescent="0.25">
      <c r="C114" s="97" t="s">
        <v>839</v>
      </c>
      <c r="D114" s="88">
        <v>1050</v>
      </c>
      <c r="E114" s="88">
        <v>1</v>
      </c>
      <c r="F114" s="88">
        <v>5</v>
      </c>
      <c r="G114" s="75">
        <v>402.05</v>
      </c>
      <c r="H114" s="75">
        <v>422.56</v>
      </c>
      <c r="I114" s="75">
        <v>0.13200000000000001</v>
      </c>
      <c r="J114" s="75">
        <v>2.3E-2</v>
      </c>
      <c r="K114" s="88">
        <v>2</v>
      </c>
      <c r="L114" s="75">
        <v>1.0999999999999999E-2</v>
      </c>
      <c r="M114" s="97" t="s">
        <v>840</v>
      </c>
      <c r="O114" s="83">
        <f>I114/0.03</f>
        <v>4.4000000000000004</v>
      </c>
      <c r="P114" s="75">
        <f t="shared" ref="P114:P118" si="2">J114/0.03</f>
        <v>0.76666666666666672</v>
      </c>
    </row>
    <row r="115" spans="1:16" ht="15.75" thickBot="1" x14ac:dyDescent="0.25">
      <c r="C115" s="93"/>
      <c r="D115" s="96"/>
      <c r="E115" s="96"/>
      <c r="F115" s="96"/>
      <c r="G115" s="75">
        <v>402.05</v>
      </c>
      <c r="H115" s="75">
        <v>409.36</v>
      </c>
      <c r="I115" s="75">
        <v>0.13200000000000001</v>
      </c>
      <c r="J115" s="75">
        <v>6.7000000000000004E-2</v>
      </c>
      <c r="K115" s="96"/>
      <c r="L115" s="75">
        <v>1.2E-2</v>
      </c>
      <c r="M115" s="93"/>
      <c r="O115" s="83">
        <f t="shared" ref="O115:O118" si="3">I115/0.03</f>
        <v>4.4000000000000004</v>
      </c>
      <c r="P115" s="75">
        <f t="shared" si="2"/>
        <v>2.2333333333333334</v>
      </c>
    </row>
    <row r="116" spans="1:16" ht="15.75" thickBot="1" x14ac:dyDescent="0.25">
      <c r="C116" s="93"/>
      <c r="D116" s="96"/>
      <c r="E116" s="99"/>
      <c r="F116" s="99"/>
      <c r="G116" s="75">
        <v>409.36</v>
      </c>
      <c r="H116" s="75">
        <v>422.56</v>
      </c>
      <c r="I116" s="75">
        <v>6.7000000000000004E-2</v>
      </c>
      <c r="J116" s="75">
        <v>2.3E-2</v>
      </c>
      <c r="K116" s="99"/>
      <c r="L116" s="75">
        <v>1.0999999999999999E-2</v>
      </c>
      <c r="M116" s="93"/>
      <c r="O116" s="83">
        <f t="shared" si="3"/>
        <v>2.2333333333333334</v>
      </c>
      <c r="P116" s="75">
        <f t="shared" si="2"/>
        <v>0.76666666666666672</v>
      </c>
    </row>
    <row r="117" spans="1:16" ht="15.75" thickBot="1" x14ac:dyDescent="0.25">
      <c r="C117" s="93"/>
      <c r="D117" s="89"/>
      <c r="E117" s="75">
        <v>1</v>
      </c>
      <c r="F117" s="75">
        <v>5</v>
      </c>
      <c r="G117" s="75">
        <v>210.34</v>
      </c>
      <c r="H117" s="75">
        <v>228.36</v>
      </c>
      <c r="I117" s="75">
        <v>3.9E-2</v>
      </c>
      <c r="J117" s="75">
        <v>1.44E-2</v>
      </c>
      <c r="K117" s="75">
        <v>2</v>
      </c>
      <c r="L117" s="75">
        <v>7.7000000000000002E-3</v>
      </c>
      <c r="M117" s="93"/>
      <c r="O117" s="83">
        <f t="shared" si="3"/>
        <v>1.3</v>
      </c>
      <c r="P117" s="75">
        <f t="shared" si="2"/>
        <v>0.48</v>
      </c>
    </row>
    <row r="118" spans="1:16" ht="15.75" thickBot="1" x14ac:dyDescent="0.25">
      <c r="C118" s="94"/>
      <c r="D118" s="75">
        <v>1013</v>
      </c>
      <c r="E118" s="75">
        <v>1</v>
      </c>
      <c r="F118" s="75">
        <v>5</v>
      </c>
      <c r="G118" s="75">
        <v>309.16000000000003</v>
      </c>
      <c r="H118" s="75">
        <v>330.43</v>
      </c>
      <c r="I118" s="75">
        <v>0.104</v>
      </c>
      <c r="J118" s="75">
        <v>2.8000000000000001E-2</v>
      </c>
      <c r="K118" s="75">
        <v>2</v>
      </c>
      <c r="L118" s="75">
        <v>7.7999999999999996E-3</v>
      </c>
      <c r="M118" s="98"/>
      <c r="O118" s="83">
        <f t="shared" si="3"/>
        <v>3.4666666666666668</v>
      </c>
      <c r="P118" s="75">
        <f t="shared" si="2"/>
        <v>0.93333333333333335</v>
      </c>
    </row>
    <row r="121" spans="1:16" x14ac:dyDescent="0.2">
      <c r="A121" s="24" t="s">
        <v>850</v>
      </c>
    </row>
    <row r="122" spans="1:16" x14ac:dyDescent="0.2">
      <c r="C122" s="5" t="s">
        <v>652</v>
      </c>
    </row>
    <row r="123" spans="1:16" x14ac:dyDescent="0.2">
      <c r="F123" s="9" t="s">
        <v>851</v>
      </c>
      <c r="G123" s="9" t="s">
        <v>852</v>
      </c>
    </row>
    <row r="124" spans="1:16" x14ac:dyDescent="0.2">
      <c r="C124" s="5" t="s">
        <v>853</v>
      </c>
      <c r="F124" s="68">
        <f>m!E155/m!E151-1</f>
        <v>-2.3695208373719634E-4</v>
      </c>
      <c r="G124" s="68">
        <f>m!E154/m!E150-1</f>
        <v>7.925772159149469E-3</v>
      </c>
    </row>
    <row r="125" spans="1:16" x14ac:dyDescent="0.2">
      <c r="C125" s="5" t="s">
        <v>854</v>
      </c>
      <c r="F125" s="68">
        <f>m!F155/m!F151-1</f>
        <v>-5.8359953926423458E-4</v>
      </c>
      <c r="G125" s="68">
        <f>m!F154/m!F150-1</f>
        <v>-3.3246555874376638E-3</v>
      </c>
    </row>
  </sheetData>
  <mergeCells count="30">
    <mergeCell ref="M114:M118"/>
    <mergeCell ref="O105:P105"/>
    <mergeCell ref="O110:O112"/>
    <mergeCell ref="P110:P112"/>
    <mergeCell ref="H110:H112"/>
    <mergeCell ref="I110:I112"/>
    <mergeCell ref="J110:J112"/>
    <mergeCell ref="K110:K112"/>
    <mergeCell ref="L110:L112"/>
    <mergeCell ref="K105:K106"/>
    <mergeCell ref="C114:C118"/>
    <mergeCell ref="D114:D117"/>
    <mergeCell ref="E114:E116"/>
    <mergeCell ref="F114:F116"/>
    <mergeCell ref="K114:K116"/>
    <mergeCell ref="C107:C109"/>
    <mergeCell ref="D107:D109"/>
    <mergeCell ref="E107:E109"/>
    <mergeCell ref="F107:F109"/>
    <mergeCell ref="K107:K109"/>
    <mergeCell ref="C110:C112"/>
    <mergeCell ref="D110:D112"/>
    <mergeCell ref="E110:E112"/>
    <mergeCell ref="F110:F112"/>
    <mergeCell ref="G110:G112"/>
    <mergeCell ref="C105:C106"/>
    <mergeCell ref="D105:D106"/>
    <mergeCell ref="E105:F105"/>
    <mergeCell ref="G105:H105"/>
    <mergeCell ref="I105:J105"/>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39440-A5F5-4A39-A6FC-499B54D3E6AB}">
  <sheetPr codeName="Sheet1"/>
  <dimension ref="A1:O387"/>
  <sheetViews>
    <sheetView topLeftCell="A271" zoomScaleNormal="100" workbookViewId="0">
      <selection activeCell="J279" sqref="J279"/>
    </sheetView>
  </sheetViews>
  <sheetFormatPr defaultRowHeight="15" x14ac:dyDescent="0.2"/>
  <cols>
    <col min="1" max="1" width="1.7109375" style="13" customWidth="1"/>
    <col min="2" max="2" width="1.7109375" style="14" customWidth="1"/>
    <col min="3" max="3" width="40.7109375" customWidth="1"/>
    <col min="4" max="5" width="6.7109375" customWidth="1"/>
    <col min="6" max="6" width="20" customWidth="1"/>
    <col min="7" max="7" width="10.7109375" style="10" customWidth="1"/>
    <col min="8" max="8" width="111.7109375" customWidth="1"/>
    <col min="12" max="12" width="12.42578125" bestFit="1" customWidth="1"/>
  </cols>
  <sheetData>
    <row r="1" spans="1:8" x14ac:dyDescent="0.2">
      <c r="A1" s="13" t="s">
        <v>2</v>
      </c>
    </row>
    <row r="2" spans="1:8" x14ac:dyDescent="0.2">
      <c r="C2" s="5" t="s">
        <v>7</v>
      </c>
    </row>
    <row r="3" spans="1:8" x14ac:dyDescent="0.2">
      <c r="C3" s="5" t="s">
        <v>3</v>
      </c>
      <c r="D3" s="5" t="s">
        <v>5</v>
      </c>
    </row>
    <row r="4" spans="1:8" x14ac:dyDescent="0.2">
      <c r="C4" s="5" t="s">
        <v>4</v>
      </c>
      <c r="D4" s="5" t="s">
        <v>6</v>
      </c>
    </row>
    <row r="13" spans="1:8" x14ac:dyDescent="0.2">
      <c r="B13" s="14" t="s">
        <v>214</v>
      </c>
      <c r="C13" s="5"/>
    </row>
    <row r="14" spans="1:8" s="6" customFormat="1" x14ac:dyDescent="0.2">
      <c r="A14" s="15"/>
      <c r="B14" s="16"/>
      <c r="C14" s="6" t="s">
        <v>8</v>
      </c>
      <c r="D14" s="6" t="s">
        <v>174</v>
      </c>
      <c r="E14" s="6" t="s">
        <v>175</v>
      </c>
      <c r="F14" s="6" t="s">
        <v>66</v>
      </c>
      <c r="G14" s="6" t="s">
        <v>146</v>
      </c>
      <c r="H14" s="6" t="s">
        <v>67</v>
      </c>
    </row>
    <row r="15" spans="1:8" x14ac:dyDescent="0.2">
      <c r="F15" s="5" t="s">
        <v>147</v>
      </c>
      <c r="G15" s="9" t="s">
        <v>164</v>
      </c>
      <c r="H15" s="7" t="s">
        <v>148</v>
      </c>
    </row>
    <row r="16" spans="1:8" x14ac:dyDescent="0.2">
      <c r="C16" t="s">
        <v>9</v>
      </c>
      <c r="F16" s="5" t="s">
        <v>80</v>
      </c>
      <c r="G16" s="9">
        <v>5024</v>
      </c>
      <c r="H16" s="7" t="s">
        <v>84</v>
      </c>
    </row>
    <row r="17" spans="3:8" x14ac:dyDescent="0.2">
      <c r="C17" t="s">
        <v>10</v>
      </c>
      <c r="D17" t="s">
        <v>68</v>
      </c>
      <c r="F17" s="5" t="s">
        <v>81</v>
      </c>
      <c r="G17" s="9">
        <v>25</v>
      </c>
      <c r="H17" s="7" t="s">
        <v>85</v>
      </c>
    </row>
    <row r="18" spans="3:8" x14ac:dyDescent="0.2">
      <c r="C18" t="s">
        <v>11</v>
      </c>
      <c r="D18" t="s">
        <v>69</v>
      </c>
      <c r="F18" t="s">
        <v>11</v>
      </c>
      <c r="G18" s="10">
        <v>22</v>
      </c>
      <c r="H18" s="7" t="s">
        <v>86</v>
      </c>
    </row>
    <row r="19" spans="3:8" x14ac:dyDescent="0.2">
      <c r="C19" t="s">
        <v>12</v>
      </c>
      <c r="D19" t="s">
        <v>69</v>
      </c>
      <c r="F19" t="s">
        <v>12</v>
      </c>
      <c r="G19" s="10">
        <v>106</v>
      </c>
      <c r="H19" s="7" t="s">
        <v>87</v>
      </c>
    </row>
    <row r="20" spans="3:8" x14ac:dyDescent="0.2">
      <c r="C20" t="s">
        <v>13</v>
      </c>
      <c r="D20" t="s">
        <v>70</v>
      </c>
      <c r="F20" s="5" t="s">
        <v>82</v>
      </c>
      <c r="G20" s="9">
        <v>26407</v>
      </c>
      <c r="H20" s="7" t="s">
        <v>89</v>
      </c>
    </row>
    <row r="21" spans="3:8" x14ac:dyDescent="0.2">
      <c r="C21" t="s">
        <v>14</v>
      </c>
      <c r="D21" t="s">
        <v>70</v>
      </c>
      <c r="F21" s="5" t="s">
        <v>83</v>
      </c>
      <c r="G21" s="9">
        <v>127234</v>
      </c>
      <c r="H21" s="7" t="s">
        <v>88</v>
      </c>
    </row>
    <row r="22" spans="3:8" x14ac:dyDescent="0.2">
      <c r="C22" t="s">
        <v>15</v>
      </c>
      <c r="D22" t="s">
        <v>71</v>
      </c>
      <c r="F22" t="s">
        <v>15</v>
      </c>
      <c r="G22" s="10">
        <v>1200.3220355017577</v>
      </c>
      <c r="H22" s="7" t="s">
        <v>90</v>
      </c>
    </row>
    <row r="23" spans="3:8" x14ac:dyDescent="0.2">
      <c r="C23" t="s">
        <v>16</v>
      </c>
      <c r="D23" t="s">
        <v>70</v>
      </c>
      <c r="F23" s="5" t="s">
        <v>145</v>
      </c>
      <c r="G23" s="9">
        <v>1</v>
      </c>
      <c r="H23" s="7" t="s">
        <v>360</v>
      </c>
    </row>
    <row r="24" spans="3:8" x14ac:dyDescent="0.2">
      <c r="C24" t="s">
        <v>17</v>
      </c>
      <c r="D24" t="s">
        <v>72</v>
      </c>
      <c r="F24" s="5" t="s">
        <v>91</v>
      </c>
      <c r="G24" s="9">
        <v>1.1400000000000001E-6</v>
      </c>
      <c r="H24" s="7" t="s">
        <v>144</v>
      </c>
    </row>
    <row r="25" spans="3:8" x14ac:dyDescent="0.2">
      <c r="C25" t="s">
        <v>18</v>
      </c>
      <c r="D25" t="s">
        <v>73</v>
      </c>
      <c r="E25">
        <v>3</v>
      </c>
      <c r="F25" s="5" t="s">
        <v>92</v>
      </c>
      <c r="G25" s="9">
        <v>38</v>
      </c>
      <c r="H25" s="7" t="s">
        <v>93</v>
      </c>
    </row>
    <row r="26" spans="3:8" x14ac:dyDescent="0.2">
      <c r="C26" t="s">
        <v>19</v>
      </c>
      <c r="D26" t="s">
        <v>73</v>
      </c>
      <c r="F26" t="s">
        <v>19</v>
      </c>
      <c r="G26" s="10">
        <v>9.5</v>
      </c>
      <c r="H26" s="7" t="s">
        <v>94</v>
      </c>
    </row>
    <row r="27" spans="3:8" x14ac:dyDescent="0.2">
      <c r="C27" t="s">
        <v>20</v>
      </c>
      <c r="D27" t="s">
        <v>74</v>
      </c>
      <c r="E27">
        <v>11</v>
      </c>
      <c r="F27" s="5" t="s">
        <v>114</v>
      </c>
      <c r="G27" s="9">
        <v>0.50088685750961304</v>
      </c>
      <c r="H27" s="7" t="s">
        <v>95</v>
      </c>
    </row>
    <row r="28" spans="3:8" x14ac:dyDescent="0.2">
      <c r="C28" t="s">
        <v>21</v>
      </c>
      <c r="D28" t="s">
        <v>74</v>
      </c>
      <c r="F28" s="5" t="s">
        <v>96</v>
      </c>
      <c r="G28" s="9">
        <v>1.5364669961854815E-3</v>
      </c>
      <c r="H28" s="7" t="s">
        <v>97</v>
      </c>
    </row>
    <row r="29" spans="3:8" x14ac:dyDescent="0.2">
      <c r="C29" t="s">
        <v>22</v>
      </c>
      <c r="D29" t="s">
        <v>75</v>
      </c>
      <c r="F29" s="5" t="s">
        <v>98</v>
      </c>
      <c r="G29" s="9">
        <v>34600000000</v>
      </c>
      <c r="H29" s="7" t="s">
        <v>359</v>
      </c>
    </row>
    <row r="30" spans="3:8" x14ac:dyDescent="0.2">
      <c r="C30" t="s">
        <v>23</v>
      </c>
      <c r="D30" t="s">
        <v>76</v>
      </c>
      <c r="E30">
        <v>2</v>
      </c>
      <c r="F30" s="5" t="s">
        <v>99</v>
      </c>
      <c r="G30" s="9">
        <v>572.29999999999995</v>
      </c>
      <c r="H30" s="7" t="s">
        <v>100</v>
      </c>
    </row>
    <row r="31" spans="3:8" x14ac:dyDescent="0.2">
      <c r="C31" s="5" t="s">
        <v>24</v>
      </c>
      <c r="D31" t="s">
        <v>77</v>
      </c>
      <c r="F31" s="5" t="s">
        <v>101</v>
      </c>
      <c r="G31" s="9">
        <v>1000</v>
      </c>
      <c r="H31" s="7" t="s">
        <v>102</v>
      </c>
    </row>
    <row r="32" spans="3:8" x14ac:dyDescent="0.2">
      <c r="C32" t="s">
        <v>25</v>
      </c>
      <c r="D32" t="s">
        <v>73</v>
      </c>
      <c r="E32">
        <v>1</v>
      </c>
      <c r="F32" s="5" t="s">
        <v>103</v>
      </c>
      <c r="G32" s="9">
        <v>0.08</v>
      </c>
      <c r="H32" s="7" t="s">
        <v>104</v>
      </c>
    </row>
    <row r="33" spans="3:8" x14ac:dyDescent="0.2">
      <c r="C33" t="s">
        <v>26</v>
      </c>
      <c r="D33" t="s">
        <v>78</v>
      </c>
      <c r="E33">
        <v>4</v>
      </c>
      <c r="F33" s="5" t="s">
        <v>105</v>
      </c>
      <c r="G33" s="9">
        <v>5.7080000000000002</v>
      </c>
      <c r="H33" s="7" t="s">
        <v>107</v>
      </c>
    </row>
    <row r="34" spans="3:8" x14ac:dyDescent="0.2">
      <c r="C34" t="s">
        <v>27</v>
      </c>
      <c r="D34" t="s">
        <v>78</v>
      </c>
      <c r="F34" s="5" t="s">
        <v>106</v>
      </c>
      <c r="G34" s="9">
        <v>0.93700000000000006</v>
      </c>
      <c r="H34" s="7" t="s">
        <v>108</v>
      </c>
    </row>
    <row r="35" spans="3:8" x14ac:dyDescent="0.2">
      <c r="C35" t="s">
        <v>28</v>
      </c>
      <c r="D35" t="s">
        <v>70</v>
      </c>
      <c r="F35" s="5" t="s">
        <v>109</v>
      </c>
      <c r="G35" s="9">
        <v>1.1399999999999999</v>
      </c>
      <c r="H35" s="7" t="s">
        <v>110</v>
      </c>
    </row>
    <row r="36" spans="3:8" x14ac:dyDescent="0.2">
      <c r="C36" t="s">
        <v>29</v>
      </c>
      <c r="D36" t="s">
        <v>79</v>
      </c>
      <c r="F36" s="5" t="s">
        <v>111</v>
      </c>
      <c r="G36" s="9">
        <v>7826300</v>
      </c>
      <c r="H36" s="7" t="s">
        <v>112</v>
      </c>
    </row>
    <row r="37" spans="3:8" x14ac:dyDescent="0.2">
      <c r="C37" t="s">
        <v>30</v>
      </c>
      <c r="D37" t="s">
        <v>79</v>
      </c>
      <c r="E37" s="8">
        <v>6</v>
      </c>
      <c r="F37" s="5" t="s">
        <v>319</v>
      </c>
      <c r="G37" s="9">
        <v>5948.0302734375</v>
      </c>
      <c r="H37" s="7" t="s">
        <v>113</v>
      </c>
    </row>
    <row r="38" spans="3:8" x14ac:dyDescent="0.2">
      <c r="C38" t="s">
        <v>31</v>
      </c>
      <c r="D38" t="s">
        <v>79</v>
      </c>
      <c r="E38">
        <v>12</v>
      </c>
      <c r="F38" s="5" t="s">
        <v>172</v>
      </c>
      <c r="G38" s="9">
        <v>6363.5771484375</v>
      </c>
      <c r="H38" s="7" t="s">
        <v>115</v>
      </c>
    </row>
    <row r="39" spans="3:8" x14ac:dyDescent="0.2">
      <c r="C39" t="s">
        <v>32</v>
      </c>
      <c r="D39" t="s">
        <v>79</v>
      </c>
      <c r="E39">
        <v>13</v>
      </c>
      <c r="F39" s="5" t="s">
        <v>173</v>
      </c>
      <c r="G39" s="9">
        <v>75.485443115234375</v>
      </c>
      <c r="H39" s="7" t="s">
        <v>116</v>
      </c>
    </row>
    <row r="40" spans="3:8" x14ac:dyDescent="0.2">
      <c r="C40" t="s">
        <v>33</v>
      </c>
      <c r="D40" t="s">
        <v>71</v>
      </c>
      <c r="F40" s="5" t="s">
        <v>118</v>
      </c>
      <c r="G40" s="9">
        <v>1.7618881784252403</v>
      </c>
      <c r="H40" s="7" t="s">
        <v>117</v>
      </c>
    </row>
    <row r="41" spans="3:8" x14ac:dyDescent="0.2">
      <c r="C41" t="s">
        <v>34</v>
      </c>
      <c r="D41" t="s">
        <v>73</v>
      </c>
      <c r="F41" t="s">
        <v>34</v>
      </c>
      <c r="G41" s="10">
        <v>4.0346302092075348E-2</v>
      </c>
      <c r="H41" s="7" t="s">
        <v>119</v>
      </c>
    </row>
    <row r="42" spans="3:8" x14ac:dyDescent="0.2">
      <c r="C42" t="s">
        <v>35</v>
      </c>
      <c r="D42" t="s">
        <v>73</v>
      </c>
      <c r="F42" t="s">
        <v>35</v>
      </c>
      <c r="G42" s="10">
        <v>19.613</v>
      </c>
      <c r="H42" s="7" t="str">
        <f>"location x of "&amp;F41</f>
        <v>location x of DispCF_max</v>
      </c>
    </row>
    <row r="43" spans="3:8" x14ac:dyDescent="0.2">
      <c r="C43" t="s">
        <v>36</v>
      </c>
      <c r="D43" t="s">
        <v>73</v>
      </c>
      <c r="E43">
        <v>14</v>
      </c>
      <c r="F43" t="s">
        <v>36</v>
      </c>
      <c r="G43" s="10">
        <v>2.8973896056413651E-2</v>
      </c>
      <c r="H43" s="7" t="s">
        <v>120</v>
      </c>
    </row>
    <row r="44" spans="3:8" x14ac:dyDescent="0.2">
      <c r="C44" t="s">
        <v>37</v>
      </c>
      <c r="D44" t="s">
        <v>73</v>
      </c>
      <c r="F44" t="s">
        <v>37</v>
      </c>
      <c r="G44" s="10">
        <v>19.613</v>
      </c>
      <c r="H44" s="7" t="str">
        <f>"location x of "&amp;F43</f>
        <v>location x of DispCF_rms</v>
      </c>
    </row>
    <row r="45" spans="3:8" x14ac:dyDescent="0.2">
      <c r="C45" t="s">
        <v>38</v>
      </c>
      <c r="D45" t="s">
        <v>73</v>
      </c>
      <c r="F45" t="s">
        <v>38</v>
      </c>
      <c r="G45" s="10">
        <v>1.7002344131469727E-2</v>
      </c>
      <c r="H45" s="7" t="s">
        <v>121</v>
      </c>
    </row>
    <row r="46" spans="3:8" x14ac:dyDescent="0.2">
      <c r="C46" t="s">
        <v>39</v>
      </c>
      <c r="D46" t="s">
        <v>73</v>
      </c>
      <c r="F46" t="s">
        <v>39</v>
      </c>
      <c r="G46" s="10">
        <v>19.613</v>
      </c>
      <c r="H46" s="7" t="str">
        <f>"location x of "&amp;F45</f>
        <v>location x of DispIL_max</v>
      </c>
    </row>
    <row r="47" spans="3:8" x14ac:dyDescent="0.2">
      <c r="C47" t="s">
        <v>40</v>
      </c>
      <c r="D47" t="s">
        <v>73</v>
      </c>
      <c r="E47">
        <v>15</v>
      </c>
      <c r="F47" t="s">
        <v>40</v>
      </c>
      <c r="G47" s="10">
        <v>6.4684064127504826E-3</v>
      </c>
      <c r="H47" s="7" t="s">
        <v>122</v>
      </c>
    </row>
    <row r="48" spans="3:8" x14ac:dyDescent="0.2">
      <c r="C48" t="s">
        <v>41</v>
      </c>
      <c r="D48" t="s">
        <v>73</v>
      </c>
      <c r="F48" t="s">
        <v>41</v>
      </c>
      <c r="G48" s="10">
        <v>19.613</v>
      </c>
      <c r="H48" s="7" t="str">
        <f>"location x of "&amp;F47</f>
        <v>location x of DispIL_rms</v>
      </c>
    </row>
    <row r="49" spans="3:8" ht="22.5" x14ac:dyDescent="0.2">
      <c r="C49" t="s">
        <v>42</v>
      </c>
      <c r="D49" t="s">
        <v>70</v>
      </c>
      <c r="F49" t="s">
        <v>42</v>
      </c>
      <c r="G49" s="10">
        <v>2.0488144946284592E-4</v>
      </c>
      <c r="H49" s="7" t="s">
        <v>167</v>
      </c>
    </row>
    <row r="50" spans="3:8" x14ac:dyDescent="0.2">
      <c r="C50" t="s">
        <v>43</v>
      </c>
      <c r="D50" t="s">
        <v>73</v>
      </c>
      <c r="F50" t="s">
        <v>43</v>
      </c>
      <c r="G50" s="10">
        <v>19.613</v>
      </c>
      <c r="H50" s="7" t="str">
        <f>"location x of "&amp;F49</f>
        <v>location x of epsCF_max</v>
      </c>
    </row>
    <row r="51" spans="3:8" x14ac:dyDescent="0.2">
      <c r="C51" t="s">
        <v>44</v>
      </c>
      <c r="D51" t="s">
        <v>70</v>
      </c>
      <c r="E51" s="5" t="s">
        <v>208</v>
      </c>
      <c r="F51" t="s">
        <v>44</v>
      </c>
      <c r="G51" s="10">
        <v>1.1811762669822201E-4</v>
      </c>
      <c r="H51" s="7" t="s">
        <v>123</v>
      </c>
    </row>
    <row r="52" spans="3:8" x14ac:dyDescent="0.2">
      <c r="C52" t="s">
        <v>45</v>
      </c>
      <c r="D52" t="s">
        <v>73</v>
      </c>
      <c r="E52">
        <v>19</v>
      </c>
      <c r="F52" t="s">
        <v>45</v>
      </c>
      <c r="G52" s="10">
        <v>30.645</v>
      </c>
      <c r="H52" s="7" t="str">
        <f>"location x of "&amp;F51</f>
        <v>location x of epsCF_rms</v>
      </c>
    </row>
    <row r="53" spans="3:8" x14ac:dyDescent="0.2">
      <c r="C53" t="s">
        <v>46</v>
      </c>
      <c r="D53" t="s">
        <v>70</v>
      </c>
      <c r="F53" t="s">
        <v>46</v>
      </c>
      <c r="G53" s="10">
        <v>1.1663417535601184E-4</v>
      </c>
      <c r="H53" s="7" t="s">
        <v>124</v>
      </c>
    </row>
    <row r="54" spans="3:8" x14ac:dyDescent="0.2">
      <c r="C54" t="s">
        <v>47</v>
      </c>
      <c r="D54" t="s">
        <v>73</v>
      </c>
      <c r="F54" t="s">
        <v>47</v>
      </c>
      <c r="G54" s="10">
        <v>18.387</v>
      </c>
      <c r="H54" s="7" t="str">
        <f>"location x of "&amp;F53</f>
        <v>location x of epsIL_max</v>
      </c>
    </row>
    <row r="55" spans="3:8" x14ac:dyDescent="0.2">
      <c r="C55" t="s">
        <v>48</v>
      </c>
      <c r="D55" t="s">
        <v>70</v>
      </c>
      <c r="E55" s="5" t="s">
        <v>209</v>
      </c>
      <c r="F55" t="s">
        <v>48</v>
      </c>
      <c r="G55" s="10">
        <v>4.3487187213031575E-5</v>
      </c>
      <c r="H55" s="7" t="s">
        <v>125</v>
      </c>
    </row>
    <row r="56" spans="3:8" x14ac:dyDescent="0.2">
      <c r="C56" t="s">
        <v>49</v>
      </c>
      <c r="D56" t="s">
        <v>73</v>
      </c>
      <c r="E56">
        <v>21</v>
      </c>
      <c r="F56" t="s">
        <v>49</v>
      </c>
      <c r="G56" s="10">
        <v>20.838999999999999</v>
      </c>
      <c r="H56" s="7" t="str">
        <f>"location x of "&amp;F55</f>
        <v>location x of epsIL_rms</v>
      </c>
    </row>
    <row r="57" spans="3:8" x14ac:dyDescent="0.2">
      <c r="C57" t="s">
        <v>50</v>
      </c>
      <c r="D57" t="s">
        <v>73</v>
      </c>
      <c r="E57">
        <v>16</v>
      </c>
      <c r="F57" s="5" t="s">
        <v>363</v>
      </c>
      <c r="G57" s="9">
        <v>14.76969411764709</v>
      </c>
      <c r="H57" s="7" t="s">
        <v>126</v>
      </c>
    </row>
    <row r="58" spans="3:8" x14ac:dyDescent="0.2">
      <c r="C58" t="s">
        <v>51</v>
      </c>
      <c r="D58" t="s">
        <v>73</v>
      </c>
      <c r="E58">
        <v>17</v>
      </c>
      <c r="F58" s="5" t="s">
        <v>364</v>
      </c>
      <c r="G58" s="9">
        <v>13.094383311603679</v>
      </c>
      <c r="H58" s="7" t="s">
        <v>127</v>
      </c>
    </row>
    <row r="59" spans="3:8" x14ac:dyDescent="0.2">
      <c r="C59" t="s">
        <v>52</v>
      </c>
      <c r="D59" t="s">
        <v>71</v>
      </c>
      <c r="E59">
        <v>22</v>
      </c>
      <c r="F59" t="s">
        <v>52</v>
      </c>
      <c r="G59" s="10">
        <v>0.93452380952380953</v>
      </c>
      <c r="H59" s="7" t="s">
        <v>128</v>
      </c>
    </row>
    <row r="60" spans="3:8" x14ac:dyDescent="0.2">
      <c r="C60" t="s">
        <v>53</v>
      </c>
      <c r="D60" t="s">
        <v>71</v>
      </c>
      <c r="E60">
        <v>26</v>
      </c>
      <c r="F60" t="s">
        <v>53</v>
      </c>
      <c r="G60" s="10">
        <v>2.1964285714285716</v>
      </c>
      <c r="H60" s="7" t="s">
        <v>129</v>
      </c>
    </row>
    <row r="61" spans="3:8" x14ac:dyDescent="0.2">
      <c r="C61" t="s">
        <v>54</v>
      </c>
      <c r="D61" t="s">
        <v>71</v>
      </c>
      <c r="E61">
        <v>23</v>
      </c>
      <c r="F61" t="s">
        <v>54</v>
      </c>
      <c r="G61" s="10">
        <v>1.269965648651123</v>
      </c>
      <c r="H61" s="7" t="s">
        <v>130</v>
      </c>
    </row>
    <row r="62" spans="3:8" x14ac:dyDescent="0.2">
      <c r="C62" t="s">
        <v>55</v>
      </c>
      <c r="D62" t="s">
        <v>71</v>
      </c>
      <c r="E62">
        <v>27</v>
      </c>
      <c r="F62" t="s">
        <v>55</v>
      </c>
      <c r="G62" s="10">
        <v>3.6453769207000732</v>
      </c>
      <c r="H62" s="7" t="s">
        <v>131</v>
      </c>
    </row>
    <row r="63" spans="3:8" x14ac:dyDescent="0.2">
      <c r="C63" t="s">
        <v>56</v>
      </c>
      <c r="D63" t="s">
        <v>71</v>
      </c>
      <c r="E63">
        <v>24</v>
      </c>
      <c r="F63" t="s">
        <v>56</v>
      </c>
      <c r="G63" s="10">
        <v>0.90475338892106938</v>
      </c>
      <c r="H63" s="7" t="s">
        <v>132</v>
      </c>
    </row>
    <row r="64" spans="3:8" x14ac:dyDescent="0.2">
      <c r="C64" t="s">
        <v>57</v>
      </c>
      <c r="D64" t="s">
        <v>71</v>
      </c>
      <c r="E64">
        <v>28</v>
      </c>
      <c r="F64" t="s">
        <v>57</v>
      </c>
      <c r="G64" s="10">
        <v>1.8095067778421388</v>
      </c>
      <c r="H64" s="7" t="s">
        <v>133</v>
      </c>
    </row>
    <row r="65" spans="2:8" x14ac:dyDescent="0.2">
      <c r="C65" t="s">
        <v>58</v>
      </c>
      <c r="D65" t="s">
        <v>71</v>
      </c>
      <c r="E65">
        <v>25</v>
      </c>
      <c r="F65" t="s">
        <v>58</v>
      </c>
      <c r="G65" s="10">
        <v>1.2782349586486816</v>
      </c>
      <c r="H65" s="7" t="s">
        <v>134</v>
      </c>
    </row>
    <row r="66" spans="2:8" x14ac:dyDescent="0.2">
      <c r="C66" t="s">
        <v>59</v>
      </c>
      <c r="D66" t="s">
        <v>71</v>
      </c>
      <c r="E66">
        <v>29</v>
      </c>
      <c r="F66" t="s">
        <v>59</v>
      </c>
      <c r="G66" s="10">
        <v>0.66929113864898682</v>
      </c>
      <c r="H66" s="7" t="s">
        <v>135</v>
      </c>
    </row>
    <row r="67" spans="2:8" x14ac:dyDescent="0.2">
      <c r="C67" t="s">
        <v>60</v>
      </c>
      <c r="D67" t="s">
        <v>71</v>
      </c>
      <c r="F67" t="s">
        <v>60</v>
      </c>
      <c r="G67" s="10">
        <v>1.3216748409045901E-10</v>
      </c>
      <c r="H67" s="7" t="s">
        <v>136</v>
      </c>
    </row>
    <row r="68" spans="2:8" x14ac:dyDescent="0.2">
      <c r="C68" t="s">
        <v>61</v>
      </c>
      <c r="D68" t="s">
        <v>71</v>
      </c>
      <c r="F68" t="s">
        <v>61</v>
      </c>
      <c r="G68" s="10">
        <v>1.6487059589156913E-12</v>
      </c>
      <c r="H68" s="7" t="s">
        <v>142</v>
      </c>
    </row>
    <row r="69" spans="2:8" x14ac:dyDescent="0.2">
      <c r="C69" t="s">
        <v>62</v>
      </c>
      <c r="D69" t="s">
        <v>70</v>
      </c>
      <c r="F69" t="s">
        <v>62</v>
      </c>
      <c r="G69" s="10">
        <v>9671326720</v>
      </c>
      <c r="H69" s="7" t="s">
        <v>137</v>
      </c>
    </row>
    <row r="70" spans="2:8" x14ac:dyDescent="0.2">
      <c r="C70" t="s">
        <v>63</v>
      </c>
      <c r="D70" t="s">
        <v>70</v>
      </c>
      <c r="F70" t="s">
        <v>63</v>
      </c>
      <c r="G70" s="10">
        <v>405949382656</v>
      </c>
      <c r="H70" s="7" t="s">
        <v>143</v>
      </c>
    </row>
    <row r="71" spans="2:8" x14ac:dyDescent="0.2">
      <c r="C71" t="s">
        <v>64</v>
      </c>
      <c r="D71" t="s">
        <v>70</v>
      </c>
      <c r="F71" s="5" t="s">
        <v>138</v>
      </c>
      <c r="G71" s="9" t="s">
        <v>205</v>
      </c>
      <c r="H71" s="7" t="s">
        <v>140</v>
      </c>
    </row>
    <row r="72" spans="2:8" x14ac:dyDescent="0.2">
      <c r="C72" t="s">
        <v>65</v>
      </c>
      <c r="D72" t="s">
        <v>70</v>
      </c>
      <c r="F72" s="5" t="s">
        <v>139</v>
      </c>
      <c r="G72" s="9" t="s">
        <v>205</v>
      </c>
      <c r="H72" s="7" t="s">
        <v>141</v>
      </c>
    </row>
    <row r="73" spans="2:8" x14ac:dyDescent="0.2">
      <c r="C73" s="5" t="s">
        <v>241</v>
      </c>
      <c r="D73" s="5" t="s">
        <v>232</v>
      </c>
      <c r="F73" s="5" t="s">
        <v>231</v>
      </c>
      <c r="G73" s="9">
        <v>21000</v>
      </c>
      <c r="H73" s="7" t="s">
        <v>230</v>
      </c>
    </row>
    <row r="74" spans="2:8" x14ac:dyDescent="0.2">
      <c r="C74" t="s">
        <v>234</v>
      </c>
      <c r="D74" s="5" t="s">
        <v>240</v>
      </c>
      <c r="F74" s="5" t="s">
        <v>233</v>
      </c>
      <c r="G74" s="9">
        <v>2</v>
      </c>
      <c r="H74" s="7" t="s">
        <v>234</v>
      </c>
    </row>
    <row r="75" spans="2:8" x14ac:dyDescent="0.2">
      <c r="C75" t="s">
        <v>237</v>
      </c>
      <c r="D75" s="5" t="s">
        <v>70</v>
      </c>
      <c r="F75" s="5" t="s">
        <v>243</v>
      </c>
      <c r="G75" s="9">
        <v>1.5</v>
      </c>
      <c r="H75" s="7" t="s">
        <v>237</v>
      </c>
    </row>
    <row r="76" spans="2:8" x14ac:dyDescent="0.2">
      <c r="C76" t="s">
        <v>238</v>
      </c>
      <c r="D76" s="5"/>
      <c r="F76" s="5" t="s">
        <v>244</v>
      </c>
      <c r="G76" s="9" t="s">
        <v>246</v>
      </c>
      <c r="H76" s="7" t="s">
        <v>238</v>
      </c>
    </row>
    <row r="77" spans="2:8" x14ac:dyDescent="0.2">
      <c r="C77" t="s">
        <v>239</v>
      </c>
      <c r="D77" s="5"/>
      <c r="F77" s="5" t="s">
        <v>245</v>
      </c>
      <c r="G77" s="9" t="s">
        <v>246</v>
      </c>
      <c r="H77" s="7" t="s">
        <v>239</v>
      </c>
    </row>
    <row r="78" spans="2:8" x14ac:dyDescent="0.2">
      <c r="D78" s="5"/>
      <c r="F78" s="5" t="s">
        <v>315</v>
      </c>
      <c r="G78" s="9">
        <v>500</v>
      </c>
      <c r="H78" s="7" t="s">
        <v>316</v>
      </c>
    </row>
    <row r="79" spans="2:8" x14ac:dyDescent="0.2">
      <c r="B79" s="14" t="s">
        <v>308</v>
      </c>
      <c r="H79" s="7"/>
    </row>
    <row r="80" spans="2:8" x14ac:dyDescent="0.2">
      <c r="D80" s="5" t="s">
        <v>361</v>
      </c>
      <c r="F80" s="5" t="s">
        <v>228</v>
      </c>
      <c r="G80" s="10">
        <v>9.81</v>
      </c>
      <c r="H80" s="7" t="s">
        <v>229</v>
      </c>
    </row>
    <row r="81" spans="2:9" ht="15.75" x14ac:dyDescent="0.2">
      <c r="F81" s="5" t="s">
        <v>159</v>
      </c>
      <c r="G81" s="10">
        <v>3.74</v>
      </c>
      <c r="H81" s="11" t="s">
        <v>161</v>
      </c>
    </row>
    <row r="82" spans="2:9" ht="15.75" x14ac:dyDescent="0.2">
      <c r="F82" s="5" t="s">
        <v>160</v>
      </c>
      <c r="G82" s="10">
        <f>25000000000000*10^(6*nfat)</f>
        <v>6.885571758345457E+35</v>
      </c>
      <c r="H82" s="11" t="s">
        <v>373</v>
      </c>
    </row>
    <row r="83" spans="2:9" x14ac:dyDescent="0.2">
      <c r="D83" s="5" t="s">
        <v>362</v>
      </c>
      <c r="F83" s="5" t="s">
        <v>176</v>
      </c>
      <c r="G83" s="10">
        <v>34600000000</v>
      </c>
      <c r="H83" s="7" t="s">
        <v>227</v>
      </c>
    </row>
    <row r="84" spans="2:9" x14ac:dyDescent="0.2">
      <c r="F84" s="5" t="s">
        <v>178</v>
      </c>
      <c r="G84" s="10">
        <v>0.2</v>
      </c>
      <c r="H84" s="12" t="s">
        <v>177</v>
      </c>
    </row>
    <row r="85" spans="2:9" x14ac:dyDescent="0.2">
      <c r="F85" s="5" t="s">
        <v>663</v>
      </c>
      <c r="G85" s="10">
        <v>3</v>
      </c>
      <c r="H85" s="12" t="s">
        <v>818</v>
      </c>
    </row>
    <row r="86" spans="2:9" x14ac:dyDescent="0.2">
      <c r="F86" s="5" t="s">
        <v>664</v>
      </c>
      <c r="G86" s="68">
        <v>4.0000000000000001E-3</v>
      </c>
      <c r="H86" s="12" t="s">
        <v>817</v>
      </c>
    </row>
    <row r="87" spans="2:9" x14ac:dyDescent="0.2">
      <c r="F87" s="5" t="s">
        <v>808</v>
      </c>
      <c r="G87" s="68" t="b">
        <v>1</v>
      </c>
      <c r="H87" s="12" t="s">
        <v>809</v>
      </c>
    </row>
    <row r="88" spans="2:9" x14ac:dyDescent="0.2">
      <c r="F88" s="5" t="s">
        <v>798</v>
      </c>
      <c r="G88" s="10">
        <v>1E-4</v>
      </c>
      <c r="H88" s="5" t="s">
        <v>799</v>
      </c>
    </row>
    <row r="89" spans="2:9" x14ac:dyDescent="0.2">
      <c r="F89" s="5"/>
      <c r="G89" s="68"/>
      <c r="H89" s="12"/>
    </row>
    <row r="90" spans="2:9" ht="38.25" x14ac:dyDescent="0.2">
      <c r="F90" s="5" t="s">
        <v>423</v>
      </c>
      <c r="G90" s="9" t="s">
        <v>286</v>
      </c>
      <c r="H90" s="52" t="s">
        <v>565</v>
      </c>
    </row>
    <row r="91" spans="2:9" x14ac:dyDescent="0.2">
      <c r="B91" s="14" t="s">
        <v>215</v>
      </c>
      <c r="H91" s="7"/>
      <c r="I91" s="9" t="s">
        <v>285</v>
      </c>
    </row>
    <row r="92" spans="2:9" x14ac:dyDescent="0.2">
      <c r="D92" s="5" t="s">
        <v>362</v>
      </c>
      <c r="F92" s="5" t="s">
        <v>170</v>
      </c>
      <c r="G92" s="26">
        <f>IF(Epipe&gt;0,Epipe,Edefault)</f>
        <v>34600000000</v>
      </c>
      <c r="H92" s="7" t="s">
        <v>171</v>
      </c>
      <c r="I92" s="9" t="s">
        <v>286</v>
      </c>
    </row>
    <row r="93" spans="2:9" x14ac:dyDescent="0.2">
      <c r="F93" s="5" t="s">
        <v>163</v>
      </c>
      <c r="G93" s="26" cm="1">
        <f t="array" ref="G93">afat^(1/nfat)/EpipeUsed</f>
        <v>0.11047418387857395</v>
      </c>
      <c r="H93" s="7" t="s">
        <v>162</v>
      </c>
      <c r="I93" s="9" t="s">
        <v>286</v>
      </c>
    </row>
    <row r="94" spans="2:9" x14ac:dyDescent="0.2">
      <c r="D94" s="5" t="s">
        <v>78</v>
      </c>
      <c r="F94" s="5" t="s">
        <v>153</v>
      </c>
      <c r="G94" s="26">
        <f>0.25*PI()*Dc^2*ro_w</f>
        <v>5.026548245743669</v>
      </c>
      <c r="H94" s="7" t="s">
        <v>154</v>
      </c>
      <c r="I94" s="9" t="s">
        <v>286</v>
      </c>
    </row>
    <row r="95" spans="2:9" x14ac:dyDescent="0.2">
      <c r="D95" s="5" t="s">
        <v>78</v>
      </c>
      <c r="F95" s="5" t="s">
        <v>155</v>
      </c>
      <c r="G95" s="26">
        <f>m_air+mdw</f>
        <v>10.734548245743669</v>
      </c>
      <c r="H95" s="7" t="s">
        <v>156</v>
      </c>
      <c r="I95" s="9" t="s">
        <v>286</v>
      </c>
    </row>
    <row r="96" spans="2:9" x14ac:dyDescent="0.2">
      <c r="F96" s="5" t="s">
        <v>152</v>
      </c>
      <c r="G96" s="26">
        <f>LN((m_air/mdw)/mratio)</f>
        <v>-3.8930778869496353E-3</v>
      </c>
      <c r="H96" s="7" t="s">
        <v>151</v>
      </c>
      <c r="I96" s="9" t="s">
        <v>286</v>
      </c>
    </row>
    <row r="97" spans="6:9" x14ac:dyDescent="0.2">
      <c r="F97" s="5" t="s">
        <v>165</v>
      </c>
      <c r="G97" s="26">
        <f>LN(FfatCF_rmseps*(2*epsCF_rms/epsFR)^nfat/FDR_CF)</f>
        <v>-2.8468660395750505E-7</v>
      </c>
      <c r="H97" s="7" t="s">
        <v>166</v>
      </c>
      <c r="I97" s="9" t="s">
        <v>286</v>
      </c>
    </row>
    <row r="98" spans="6:9" x14ac:dyDescent="0.2">
      <c r="F98" s="5" t="s">
        <v>168</v>
      </c>
      <c r="G98" s="26">
        <f>LN(FfatIL_rmseps*(epsIL_rms*2/epsFR)^nfat/FDR_IL)</f>
        <v>-4.2559492614271028E-8</v>
      </c>
      <c r="H98" s="7" t="s">
        <v>169</v>
      </c>
      <c r="I98" s="9" t="s">
        <v>286</v>
      </c>
    </row>
    <row r="99" spans="6:9" x14ac:dyDescent="0.2">
      <c r="F99" s="5" t="s">
        <v>157</v>
      </c>
      <c r="G99" s="26">
        <f>meff/mdw</f>
        <v>2.1355705189606735</v>
      </c>
      <c r="H99" s="7" t="s">
        <v>158</v>
      </c>
      <c r="I99" s="9" t="s">
        <v>286</v>
      </c>
    </row>
    <row r="100" spans="6:9" x14ac:dyDescent="0.2">
      <c r="F100" s="5" t="s">
        <v>366</v>
      </c>
      <c r="G100" s="26">
        <f>IF(lambdaCF="ne",Lspan/nlCF,lambdaCF)</f>
        <v>14.76969411764709</v>
      </c>
      <c r="H100" s="7" t="s">
        <v>368</v>
      </c>
      <c r="I100" s="9" t="s">
        <v>286</v>
      </c>
    </row>
    <row r="101" spans="6:9" x14ac:dyDescent="0.2">
      <c r="F101" s="5" t="s">
        <v>365</v>
      </c>
      <c r="G101" s="26">
        <f>IF(lambdaIL="ne",Lspan/nlIL,lambdaIL)</f>
        <v>13.094383311603679</v>
      </c>
      <c r="H101" s="7" t="s">
        <v>367</v>
      </c>
      <c r="I101" s="9" t="s">
        <v>286</v>
      </c>
    </row>
    <row r="102" spans="6:9" x14ac:dyDescent="0.2">
      <c r="F102" s="5" t="s">
        <v>149</v>
      </c>
      <c r="G102" s="26">
        <f>IF(DispCF_rms&gt;=DispIL_rms,lambdaCFused,lambdaILused)</f>
        <v>14.76969411764709</v>
      </c>
      <c r="H102" s="7" t="s">
        <v>150</v>
      </c>
      <c r="I102" s="9" t="s">
        <v>286</v>
      </c>
    </row>
    <row r="103" spans="6:9" x14ac:dyDescent="0.2">
      <c r="F103" s="5" t="s">
        <v>370</v>
      </c>
      <c r="G103" s="26">
        <f>lambdaCFused/Lst</f>
        <v>1.5122069405718799</v>
      </c>
      <c r="H103" s="7" t="s">
        <v>371</v>
      </c>
      <c r="I103" s="9" t="s">
        <v>286</v>
      </c>
    </row>
    <row r="104" spans="6:9" x14ac:dyDescent="0.2">
      <c r="F104" s="5" t="s">
        <v>369</v>
      </c>
      <c r="G104" s="26">
        <f>lambdaILused/Lst</f>
        <v>1.340678904287977</v>
      </c>
      <c r="H104" s="7" t="s">
        <v>372</v>
      </c>
      <c r="I104" s="9" t="s">
        <v>286</v>
      </c>
    </row>
    <row r="105" spans="6:9" x14ac:dyDescent="0.2">
      <c r="F105" s="5" t="s">
        <v>505</v>
      </c>
      <c r="G105" s="26">
        <f>lambdaUsed/Lst</f>
        <v>1.5122069405718799</v>
      </c>
      <c r="H105" s="7" t="s">
        <v>506</v>
      </c>
      <c r="I105" s="9"/>
    </row>
    <row r="106" spans="6:9" ht="15.75" x14ac:dyDescent="0.25">
      <c r="F106" s="5" t="s">
        <v>180</v>
      </c>
      <c r="G106" s="26">
        <f>Dc/2</f>
        <v>0.04</v>
      </c>
      <c r="H106" s="11" t="s">
        <v>179</v>
      </c>
      <c r="I106" s="9" t="s">
        <v>286</v>
      </c>
    </row>
    <row r="107" spans="6:9" ht="15.75" x14ac:dyDescent="0.25">
      <c r="F107" s="5" t="s">
        <v>183</v>
      </c>
      <c r="G107" s="26">
        <f>Dc/(St*Uc)</f>
        <v>0.79858354038032064</v>
      </c>
      <c r="H107" s="11" t="s">
        <v>182</v>
      </c>
      <c r="I107" s="9" t="s">
        <v>286</v>
      </c>
    </row>
    <row r="108" spans="6:9" ht="16.5" x14ac:dyDescent="0.25">
      <c r="F108" s="5" t="s">
        <v>181</v>
      </c>
      <c r="G108" s="26">
        <f>PI()*SQRT(2*EI)/SQRT(SQRT(Navg^2+16*PI()^2*EI*meff/Tst^2)-Navg)</f>
        <v>9.7669794532628913</v>
      </c>
      <c r="H108" s="11" t="s">
        <v>184</v>
      </c>
      <c r="I108" s="9" t="s">
        <v>286</v>
      </c>
    </row>
    <row r="109" spans="6:9" ht="15.75" x14ac:dyDescent="0.25">
      <c r="F109" s="5" t="s">
        <v>198</v>
      </c>
      <c r="G109" s="26">
        <f>Lspan/Lst</f>
        <v>3.8906603809128724</v>
      </c>
      <c r="H109" s="11" t="s">
        <v>197</v>
      </c>
      <c r="I109" s="9" t="s">
        <v>286</v>
      </c>
    </row>
    <row r="110" spans="6:9" ht="16.5" x14ac:dyDescent="0.25">
      <c r="F110" s="5" t="s">
        <v>201</v>
      </c>
      <c r="G110" s="26">
        <f>PI()^2*EI/Lst^2</f>
        <v>59.211074613419889</v>
      </c>
      <c r="H110" s="11" t="s">
        <v>199</v>
      </c>
      <c r="I110" s="9" t="s">
        <v>286</v>
      </c>
    </row>
    <row r="111" spans="6:9" ht="15.75" x14ac:dyDescent="0.25">
      <c r="F111" s="5" t="s">
        <v>202</v>
      </c>
      <c r="G111" s="26">
        <f>Navg/N_1</f>
        <v>107.47275218334288</v>
      </c>
      <c r="H111" s="11" t="s">
        <v>200</v>
      </c>
      <c r="I111" s="9" t="s">
        <v>286</v>
      </c>
    </row>
    <row r="112" spans="6:9" ht="16.5" x14ac:dyDescent="0.25">
      <c r="F112" s="5" t="s">
        <v>186</v>
      </c>
      <c r="G112" s="26">
        <f>Reps*Dc/Lst^2</f>
        <v>3.3545126204111023E-5</v>
      </c>
      <c r="H112" s="11" t="s">
        <v>185</v>
      </c>
      <c r="I112" s="9" t="s">
        <v>286</v>
      </c>
    </row>
    <row r="113" spans="4:9" ht="16.5" x14ac:dyDescent="0.25">
      <c r="F113" s="5" t="s">
        <v>189</v>
      </c>
      <c r="G113" s="26">
        <f>epsCF_rms/eps_1</f>
        <v>3.5211561280024775</v>
      </c>
      <c r="H113" s="11" t="s">
        <v>188</v>
      </c>
      <c r="I113" s="9" t="s">
        <v>286</v>
      </c>
    </row>
    <row r="114" spans="4:9" ht="16.5" x14ac:dyDescent="0.25">
      <c r="F114" s="5" t="s">
        <v>190</v>
      </c>
      <c r="G114" s="26">
        <f>epsIL_rms/eps_1</f>
        <v>1.2963787033748626</v>
      </c>
      <c r="H114" s="11" t="s">
        <v>187</v>
      </c>
      <c r="I114" s="9" t="s">
        <v>286</v>
      </c>
    </row>
    <row r="115" spans="4:9" ht="16.5" x14ac:dyDescent="0.25">
      <c r="D115" s="5"/>
      <c r="F115" s="5" t="s">
        <v>191</v>
      </c>
      <c r="G115" s="26">
        <f>(eps_1/epsFR)^nfat/Tst</f>
        <v>8.7445671039533694E-14</v>
      </c>
      <c r="H115" s="11" t="s">
        <v>192</v>
      </c>
      <c r="I115" s="9" t="s">
        <v>286</v>
      </c>
    </row>
    <row r="116" spans="4:9" x14ac:dyDescent="0.2">
      <c r="F116" s="5" t="s">
        <v>193</v>
      </c>
      <c r="G116" s="26">
        <f>FDR_CF/FDR_1</f>
        <v>1511.4239792465751</v>
      </c>
      <c r="H116" s="12" t="s">
        <v>194</v>
      </c>
      <c r="I116" s="9" t="s">
        <v>286</v>
      </c>
    </row>
    <row r="117" spans="4:9" x14ac:dyDescent="0.2">
      <c r="F117" s="5" t="s">
        <v>196</v>
      </c>
      <c r="G117" s="26">
        <f>FDR_IL/FDR_1</f>
        <v>18.854060347599376</v>
      </c>
      <c r="H117" s="12" t="s">
        <v>195</v>
      </c>
      <c r="I117" s="9" t="s">
        <v>286</v>
      </c>
    </row>
    <row r="118" spans="4:9" ht="15.75" x14ac:dyDescent="0.25">
      <c r="F118" s="5" t="s">
        <v>210</v>
      </c>
      <c r="G118" s="26">
        <f>0.5*FDR_CF_tilde^(1/nfat)</f>
        <v>3.5405708977476902</v>
      </c>
      <c r="H118" s="11" t="s">
        <v>212</v>
      </c>
      <c r="I118" s="9" t="s">
        <v>286</v>
      </c>
    </row>
    <row r="119" spans="4:9" ht="15.75" x14ac:dyDescent="0.25">
      <c r="F119" s="5" t="s">
        <v>211</v>
      </c>
      <c r="G119" s="26">
        <f>0.5*FDR_IL_tilde^(1/nfat)</f>
        <v>1.0964462722487758</v>
      </c>
      <c r="H119" s="11" t="s">
        <v>213</v>
      </c>
      <c r="I119" s="9" t="s">
        <v>286</v>
      </c>
    </row>
    <row r="120" spans="4:9" x14ac:dyDescent="0.2">
      <c r="F120" s="5" t="s">
        <v>249</v>
      </c>
      <c r="G120" s="26">
        <f>Uc*Dc/nu</f>
        <v>35149.954912955298</v>
      </c>
      <c r="H120" s="11" t="s">
        <v>248</v>
      </c>
      <c r="I120" s="9" t="s">
        <v>286</v>
      </c>
    </row>
    <row r="121" spans="4:9" x14ac:dyDescent="0.2">
      <c r="F121" s="5" t="s">
        <v>251</v>
      </c>
      <c r="G121" s="26">
        <f>0.5*ro_w*Uc^2*Dc</f>
        <v>10.035505761034216</v>
      </c>
      <c r="H121" s="11" t="s">
        <v>250</v>
      </c>
      <c r="I121" s="9" t="s">
        <v>286</v>
      </c>
    </row>
    <row r="122" spans="4:9" x14ac:dyDescent="0.2">
      <c r="F122" s="5" t="s">
        <v>252</v>
      </c>
      <c r="G122" s="26">
        <f>IF(TestSeries="EM",0,g*(m_air-mdw))</f>
        <v>6.6850417092546097</v>
      </c>
      <c r="H122" s="11" t="s">
        <v>358</v>
      </c>
      <c r="I122" s="9" t="s">
        <v>286</v>
      </c>
    </row>
    <row r="123" spans="4:9" x14ac:dyDescent="0.2">
      <c r="F123" s="5" t="s">
        <v>693</v>
      </c>
      <c r="G123" s="26">
        <f>m_air/(0.25*PI()*ro_w*Dc^2)</f>
        <v>1.1355705189606733</v>
      </c>
      <c r="H123" s="11" t="s">
        <v>694</v>
      </c>
      <c r="I123" s="9"/>
    </row>
    <row r="124" spans="4:9" x14ac:dyDescent="0.2">
      <c r="F124" s="5" t="s">
        <v>287</v>
      </c>
      <c r="G124" s="26" cm="1">
        <f t="array" ref="G124">N_g-dnss(qw,N_g,Lspan,EI,EA,kxend)</f>
        <v>5893.0796644500306</v>
      </c>
      <c r="H124" s="11" t="s">
        <v>255</v>
      </c>
      <c r="I124" s="9" t="s">
        <v>286</v>
      </c>
    </row>
    <row r="125" spans="4:9" x14ac:dyDescent="0.2">
      <c r="F125" s="5" t="s">
        <v>253</v>
      </c>
      <c r="G125" s="26" cm="1">
        <f t="array" ref="G125">cdss(qw,qh_1,N_g,Navg,Lspan,EI,EA,kxend)</f>
        <v>1.9760140070219807</v>
      </c>
      <c r="H125" s="11" t="s">
        <v>254</v>
      </c>
      <c r="I125" s="9" t="s">
        <v>286</v>
      </c>
    </row>
    <row r="126" spans="4:9" x14ac:dyDescent="0.2">
      <c r="F126" s="5" t="s">
        <v>259</v>
      </c>
      <c r="G126" s="26">
        <f>IF(cd="","",DEGREES(ATAN2(qw,cd*qh_1)))</f>
        <v>71.370396082309298</v>
      </c>
      <c r="H126" s="11" t="s">
        <v>260</v>
      </c>
      <c r="I126" s="9" t="s">
        <v>286</v>
      </c>
    </row>
    <row r="127" spans="4:9" x14ac:dyDescent="0.2">
      <c r="F127" s="5" t="s">
        <v>257</v>
      </c>
      <c r="G127" s="26">
        <f>SQRT(8*EI/EA)/Dc</f>
        <v>0.30233514431611691</v>
      </c>
      <c r="H127" s="11" t="s">
        <v>258</v>
      </c>
      <c r="I127" s="9" t="s">
        <v>286</v>
      </c>
    </row>
    <row r="128" spans="4:9" x14ac:dyDescent="0.2">
      <c r="F128" s="5" t="s">
        <v>261</v>
      </c>
      <c r="G128" s="26">
        <f>IF(cd="",SQRT(SUMSQ(qw,1.4*qh_1)),SQRT(SUMSQ(qw,cd*qh_1)))</f>
        <v>20.926790934472493</v>
      </c>
      <c r="H128" s="11" t="s">
        <v>262</v>
      </c>
      <c r="I128" s="9" t="s">
        <v>286</v>
      </c>
    </row>
    <row r="129" spans="6:10" x14ac:dyDescent="0.2">
      <c r="F129" s="5" t="s">
        <v>265</v>
      </c>
      <c r="G129" s="26" cm="1">
        <f t="array" ref="G129">fss_0(1,qc,Navg,Lspan,EI,meff)</f>
        <v>0.32046353222769008</v>
      </c>
      <c r="H129" s="11" t="s">
        <v>263</v>
      </c>
      <c r="I129" s="9" t="s">
        <v>286</v>
      </c>
    </row>
    <row r="130" spans="6:10" x14ac:dyDescent="0.2">
      <c r="F130" s="5" t="s">
        <v>264</v>
      </c>
      <c r="G130" s="26" cm="1">
        <f t="array" ref="G130">fss(1,qc,Navg,Lspan,EI,EA,meff,kxend)</f>
        <v>0.34301246243459216</v>
      </c>
      <c r="H130" s="11" t="s">
        <v>266</v>
      </c>
      <c r="I130" s="9" t="s">
        <v>286</v>
      </c>
    </row>
    <row r="131" spans="6:10" x14ac:dyDescent="0.2">
      <c r="F131" s="5" t="s">
        <v>654</v>
      </c>
      <c r="G131" s="26" cm="1">
        <f t="array" ref="G131">fss(1,qc,Navg,Lspan,EI,EA,meff,1E+299)</f>
        <v>0.51418164599741667</v>
      </c>
      <c r="H131" s="11" t="s">
        <v>653</v>
      </c>
      <c r="I131" s="9"/>
    </row>
    <row r="132" spans="6:10" x14ac:dyDescent="0.2">
      <c r="F132" s="5" t="s">
        <v>268</v>
      </c>
      <c r="G132" s="26" cm="1">
        <f t="array" ref="G132">jstss(1/Tst,Navg,Lspan,EI,meff)</f>
        <v>3</v>
      </c>
      <c r="H132" s="11" t="s">
        <v>307</v>
      </c>
      <c r="I132" s="9" t="s">
        <v>286</v>
      </c>
    </row>
    <row r="133" spans="6:10" x14ac:dyDescent="0.2">
      <c r="F133" s="5" t="s">
        <v>269</v>
      </c>
      <c r="G133" s="26" cm="1">
        <f t="array" ref="G133">fss_0(jst,qc,Navg,Lspan,EI,meff)</f>
        <v>0.96375007162369331</v>
      </c>
      <c r="H133" s="11" t="s">
        <v>271</v>
      </c>
      <c r="I133" s="9" t="s">
        <v>286</v>
      </c>
    </row>
    <row r="134" spans="6:10" x14ac:dyDescent="0.2">
      <c r="F134" s="5" t="s">
        <v>270</v>
      </c>
      <c r="G134" s="26" cm="1">
        <f t="array" ref="G134">fss(jst,qc,Navg,Lspan,EI,EA,meff,kxend)</f>
        <v>0.96460368993839984</v>
      </c>
      <c r="H134" s="11" t="s">
        <v>272</v>
      </c>
      <c r="I134" s="9" t="s">
        <v>286</v>
      </c>
    </row>
    <row r="135" spans="6:10" x14ac:dyDescent="0.2">
      <c r="F135" s="5" t="s">
        <v>655</v>
      </c>
      <c r="G135" s="26" cm="1">
        <f t="array" ref="G135">fss(jst,qc,Navg,Lspan,EI,EA,meff,9E+299)</f>
        <v>0.97293577082853211</v>
      </c>
      <c r="H135" s="11" t="s">
        <v>656</v>
      </c>
      <c r="I135" s="9"/>
    </row>
    <row r="136" spans="6:10" x14ac:dyDescent="0.2">
      <c r="F136" s="5" t="s">
        <v>811</v>
      </c>
      <c r="G136" s="26">
        <f>IF(SubDamp,meff,meff-mdw)</f>
        <v>10.734548245743669</v>
      </c>
      <c r="H136" s="11" t="s">
        <v>812</v>
      </c>
      <c r="I136" s="9"/>
    </row>
    <row r="137" spans="6:10" x14ac:dyDescent="0.2">
      <c r="F137" s="5" t="s">
        <v>665</v>
      </c>
      <c r="G137" s="26" cm="1">
        <f t="array" ref="G137">fss_0(ndamp,qw,N_g,Lspan,EI,m_damp)</f>
        <v>0.93193108976105177</v>
      </c>
      <c r="H137" s="11" t="s">
        <v>810</v>
      </c>
      <c r="I137" s="9"/>
    </row>
    <row r="138" spans="6:10" x14ac:dyDescent="0.2">
      <c r="F138" s="5" t="s">
        <v>797</v>
      </c>
      <c r="G138" s="26" cm="1">
        <f t="array" ref="G138">cfVenugopal(ro_w,Dc,2*PI()*fnss_0*Dc^2/nu,0,aod*Dc,fnss_0,"low")</f>
        <v>0.91830973248912562</v>
      </c>
      <c r="H138" s="11" t="s">
        <v>800</v>
      </c>
      <c r="I138" s="9"/>
    </row>
    <row r="139" spans="6:10" x14ac:dyDescent="0.2">
      <c r="F139" s="5" t="s">
        <v>816</v>
      </c>
      <c r="G139" s="36">
        <f>cv/(4*PI()*fnss_0*meff)</f>
        <v>7.3048575374430411E-3</v>
      </c>
      <c r="H139" s="11" t="s">
        <v>815</v>
      </c>
      <c r="I139" s="9"/>
    </row>
    <row r="140" spans="6:10" x14ac:dyDescent="0.2">
      <c r="F140" s="5" t="s">
        <v>667</v>
      </c>
      <c r="G140" s="26">
        <f>2*zeta_ndamp*m_damp*2*PI()*fnss_0/(ndamp*PI()/Lspan)^4</f>
        <v>132.88847105862538</v>
      </c>
      <c r="H140" s="11" t="s">
        <v>666</v>
      </c>
      <c r="I140" s="9" t="s">
        <v>796</v>
      </c>
    </row>
    <row r="141" spans="6:10" x14ac:dyDescent="0.2">
      <c r="F141" s="5" t="s">
        <v>814</v>
      </c>
      <c r="G141" s="26">
        <f>Ck*PI()*fnss_0/EI</f>
        <v>0.67982515718608383</v>
      </c>
      <c r="H141" s="11" t="s">
        <v>813</v>
      </c>
      <c r="I141" s="9"/>
    </row>
    <row r="142" spans="6:10" ht="16.5" x14ac:dyDescent="0.25">
      <c r="F142" s="5" t="s">
        <v>668</v>
      </c>
      <c r="G142" s="26">
        <f>PI()^3*Ck*ceff/(EI*Tst*(1+Navg_tilde))</f>
        <v>0.17749498211185644</v>
      </c>
      <c r="H142" s="11" t="s">
        <v>669</v>
      </c>
      <c r="I142" s="9"/>
    </row>
    <row r="143" spans="6:10" ht="16.5" x14ac:dyDescent="0.25">
      <c r="F143" s="5" t="s">
        <v>275</v>
      </c>
      <c r="G143" s="26" cm="1">
        <f t="array" ref="G143">vxssend(qc,EI,Navg,Lspan)</f>
        <v>6.149580564393143E-2</v>
      </c>
      <c r="H143" s="11" t="s">
        <v>274</v>
      </c>
      <c r="I143" s="9" t="s">
        <v>286</v>
      </c>
      <c r="J143" s="11" t="s">
        <v>795</v>
      </c>
    </row>
    <row r="144" spans="6:10" x14ac:dyDescent="0.2">
      <c r="F144" s="5" t="s">
        <v>276</v>
      </c>
      <c r="G144" s="26">
        <f>epsCF_rms*Lst/(PI()*Reps)</f>
        <v>9.1804743663335096E-3</v>
      </c>
      <c r="H144" s="11" t="s">
        <v>288</v>
      </c>
      <c r="I144" s="9" t="s">
        <v>286</v>
      </c>
    </row>
    <row r="145" spans="6:9" x14ac:dyDescent="0.2">
      <c r="F145" s="5" t="s">
        <v>277</v>
      </c>
      <c r="G145" s="26">
        <f>rotCF/rotStatic</f>
        <v>0.14928618741072569</v>
      </c>
      <c r="H145" s="11" t="s">
        <v>289</v>
      </c>
      <c r="I145" s="9" t="s">
        <v>286</v>
      </c>
    </row>
    <row r="146" spans="6:9" x14ac:dyDescent="0.2">
      <c r="F146" s="5" t="s">
        <v>278</v>
      </c>
      <c r="G146" s="26">
        <f>epsCF_rms*(Lst/PI())^2/Reps</f>
        <v>2.8541416534294567E-2</v>
      </c>
      <c r="H146" s="11" t="s">
        <v>290</v>
      </c>
      <c r="I146" s="9" t="s">
        <v>286</v>
      </c>
    </row>
    <row r="147" spans="6:9" x14ac:dyDescent="0.2">
      <c r="F147" s="5" t="s">
        <v>279</v>
      </c>
      <c r="G147" s="26" cm="1">
        <f t="array" ref="G147">narchss(avivCF,jst,qc,Navg,Lspan,EI,EA,kxend)</f>
        <v>14.344164629261572</v>
      </c>
      <c r="H147" s="11" t="s">
        <v>291</v>
      </c>
      <c r="I147" s="9" t="s">
        <v>286</v>
      </c>
    </row>
    <row r="148" spans="6:9" x14ac:dyDescent="0.2">
      <c r="F148" s="5" t="s">
        <v>280</v>
      </c>
      <c r="G148" s="26" cm="1">
        <f t="array" ref="G148">nnlss(avivCF,jst,Lspan,EA,kxend)</f>
        <v>9.0719708315868317</v>
      </c>
      <c r="H148" s="11" t="s">
        <v>292</v>
      </c>
      <c r="I148" s="9" t="s">
        <v>286</v>
      </c>
    </row>
    <row r="149" spans="6:9" x14ac:dyDescent="0.2">
      <c r="F149" s="5" t="s">
        <v>293</v>
      </c>
      <c r="G149" s="26">
        <f>Lspan+EA/kxend</f>
        <v>410.68095238095236</v>
      </c>
      <c r="H149" s="11" t="s">
        <v>294</v>
      </c>
      <c r="I149" s="9" t="s">
        <v>286</v>
      </c>
    </row>
    <row r="150" spans="6:9" x14ac:dyDescent="0.2">
      <c r="F150" s="5" t="s">
        <v>299</v>
      </c>
      <c r="G150" s="26">
        <f>Dc/Lst</f>
        <v>8.1908639598165731E-3</v>
      </c>
      <c r="H150" s="11" t="s">
        <v>300</v>
      </c>
      <c r="I150" s="9" t="s">
        <v>286</v>
      </c>
    </row>
    <row r="151" spans="6:9" x14ac:dyDescent="0.2">
      <c r="F151" s="5" t="s">
        <v>309</v>
      </c>
      <c r="G151" s="36">
        <f>f1ss/f1ss_0-1</f>
        <v>7.0363482703176938E-2</v>
      </c>
      <c r="H151" s="11" t="s">
        <v>267</v>
      </c>
      <c r="I151" s="9" t="s">
        <v>286</v>
      </c>
    </row>
    <row r="152" spans="6:9" x14ac:dyDescent="0.2">
      <c r="F152" s="5" t="s">
        <v>310</v>
      </c>
      <c r="G152" s="36">
        <f>fjss/fjss_0-1</f>
        <v>8.8572581195078826E-4</v>
      </c>
      <c r="H152" s="11" t="s">
        <v>273</v>
      </c>
      <c r="I152" s="9" t="s">
        <v>286</v>
      </c>
    </row>
    <row r="153" spans="6:9" x14ac:dyDescent="0.2">
      <c r="F153" s="5" t="s">
        <v>657</v>
      </c>
      <c r="G153" s="36">
        <f>f1ss_f/f1ss_0-1</f>
        <v>0.60449347363521366</v>
      </c>
      <c r="H153" s="11" t="s">
        <v>659</v>
      </c>
      <c r="I153" s="9"/>
    </row>
    <row r="154" spans="6:9" x14ac:dyDescent="0.2">
      <c r="F154" s="5" t="s">
        <v>658</v>
      </c>
      <c r="G154" s="36">
        <f>fjss_f/fjss_0-1</f>
        <v>9.5312046922735316E-3</v>
      </c>
      <c r="H154" s="11" t="s">
        <v>660</v>
      </c>
      <c r="I154" s="9"/>
    </row>
    <row r="155" spans="6:9" x14ac:dyDescent="0.2">
      <c r="F155" s="5"/>
      <c r="G155" s="36"/>
      <c r="H155" s="11"/>
      <c r="I155" s="9"/>
    </row>
    <row r="156" spans="6:9" x14ac:dyDescent="0.2">
      <c r="F156" s="5" t="s">
        <v>321</v>
      </c>
      <c r="G156" s="26">
        <f>SQRT(2)*Nstd/(Navg+PI()^2*EI/Lst^2)</f>
        <v>1.6620902590588328E-2</v>
      </c>
      <c r="H156" s="11" t="s">
        <v>348</v>
      </c>
      <c r="I156" s="9" t="s">
        <v>286</v>
      </c>
    </row>
    <row r="157" spans="6:9" x14ac:dyDescent="0.2">
      <c r="F157" s="5" t="s">
        <v>311</v>
      </c>
      <c r="G157" s="26">
        <f>0.25*(Dc^2*EA/EI)*(Lspan/Lea)/(1+Navg_tilde)</f>
        <v>1.8664274151198829E-2</v>
      </c>
      <c r="H157" s="11" t="s">
        <v>295</v>
      </c>
      <c r="I157" s="9" t="s">
        <v>286</v>
      </c>
    </row>
    <row r="158" spans="6:9" x14ac:dyDescent="0.2">
      <c r="F158" s="5" t="s">
        <v>662</v>
      </c>
      <c r="G158" s="26">
        <f>0.25*(Dc^2*EA/EI)/(1+Navg_tilde)</f>
        <v>0.20171215483982965</v>
      </c>
      <c r="H158" s="11" t="s">
        <v>661</v>
      </c>
      <c r="I158" s="9"/>
    </row>
    <row r="159" spans="6:9" ht="16.5" x14ac:dyDescent="0.25">
      <c r="F159" s="5" t="s">
        <v>312</v>
      </c>
      <c r="G159" s="26">
        <f>4*Lspan*(m_air/EA)^0.5/Tst</f>
        <v>0.16254999848110502</v>
      </c>
      <c r="H159" s="11" t="s">
        <v>349</v>
      </c>
      <c r="I159" s="9" t="s">
        <v>286</v>
      </c>
    </row>
    <row r="160" spans="6:9" ht="15.75" x14ac:dyDescent="0.2">
      <c r="F160" s="5" t="s">
        <v>313</v>
      </c>
      <c r="G160" s="26">
        <f>(PI()^4/4)*Lspan_tilde^2*(Dc/Lst)^2</f>
        <v>2.4731221679043156E-2</v>
      </c>
      <c r="H160" s="12" t="s">
        <v>314</v>
      </c>
      <c r="I160" s="9" t="s">
        <v>286</v>
      </c>
    </row>
    <row r="161" spans="6:9" ht="15.75" x14ac:dyDescent="0.2">
      <c r="F161" s="5" t="s">
        <v>317</v>
      </c>
      <c r="G161" s="26">
        <f>IF(m_clump=0,"",2*PI()*SQRT(Lspan*m_clump/(2*EA))/Tst)</f>
        <v>0.27412148168790279</v>
      </c>
      <c r="H161" s="12" t="s">
        <v>318</v>
      </c>
      <c r="I161" s="9" t="s">
        <v>286</v>
      </c>
    </row>
    <row r="162" spans="6:9" x14ac:dyDescent="0.2">
      <c r="F162" s="5" t="s">
        <v>325</v>
      </c>
      <c r="G162" s="26">
        <f>epsCF_e_tilde/epsCF_rms_tilde</f>
        <v>1.0055137486210322</v>
      </c>
      <c r="H162" s="12" t="s">
        <v>326</v>
      </c>
      <c r="I162" s="9" t="s">
        <v>286</v>
      </c>
    </row>
    <row r="163" spans="6:9" x14ac:dyDescent="0.2">
      <c r="F163" s="5" t="s">
        <v>323</v>
      </c>
      <c r="G163" s="26">
        <f>epsIL_e_tilde/epsIL_rms_tilde</f>
        <v>0.84577621446140483</v>
      </c>
      <c r="H163" s="12" t="s">
        <v>324</v>
      </c>
      <c r="I163" s="9" t="s">
        <v>286</v>
      </c>
    </row>
    <row r="164" spans="6:9" x14ac:dyDescent="0.2">
      <c r="F164" s="5" t="s">
        <v>343</v>
      </c>
      <c r="G164" s="26">
        <f>Lspan/Dc</f>
        <v>475</v>
      </c>
      <c r="H164" s="12" t="s">
        <v>345</v>
      </c>
      <c r="I164" s="9" t="s">
        <v>286</v>
      </c>
    </row>
    <row r="165" spans="6:9" x14ac:dyDescent="0.2">
      <c r="F165" s="5" t="s">
        <v>344</v>
      </c>
      <c r="G165" s="26">
        <f>Lea/Lspan</f>
        <v>10.807393483709273</v>
      </c>
      <c r="H165" s="12" t="s">
        <v>346</v>
      </c>
      <c r="I165" s="9" t="s">
        <v>286</v>
      </c>
    </row>
    <row r="166" spans="6:9" x14ac:dyDescent="0.2">
      <c r="F166" s="5" t="s">
        <v>583</v>
      </c>
      <c r="G166" s="26" t="str">
        <f>IF(OR(psi_arch_st&gt;0.1,psi_n&gt;0.1,rotStatic&gt;0.4),"y","n")</f>
        <v>n</v>
      </c>
      <c r="H166" s="12" t="s">
        <v>337</v>
      </c>
      <c r="I166" s="9" t="s">
        <v>286</v>
      </c>
    </row>
    <row r="167" spans="6:9" x14ac:dyDescent="0.2">
      <c r="F167" s="5" t="s">
        <v>235</v>
      </c>
      <c r="G167" s="26">
        <f>SQRT(SUMSQ(zchk_mratio,zchk_FDR_CF,zchk_FDR_IL))</f>
        <v>3.8930778975913146E-3</v>
      </c>
      <c r="H167" s="11" t="s">
        <v>236</v>
      </c>
      <c r="I167" s="9" t="s">
        <v>286</v>
      </c>
    </row>
    <row r="168" spans="6:9" x14ac:dyDescent="0.2">
      <c r="F168" s="5" t="s">
        <v>374</v>
      </c>
      <c r="G168" s="26" cm="1">
        <f t="array" ref="G168">jstss(0.5*Uc/Dc,Navg,Lspan,EI,meff)+3</f>
        <v>12</v>
      </c>
      <c r="H168" s="11" t="s">
        <v>378</v>
      </c>
      <c r="I168" s="9" t="s">
        <v>286</v>
      </c>
    </row>
    <row r="169" spans="6:9" ht="15.75" thickBot="1" x14ac:dyDescent="0.25">
      <c r="F169" s="5" t="s">
        <v>375</v>
      </c>
      <c r="G169" s="26" cm="1">
        <f t="array" ref="G169">jstss(Uc/Dc,Navg,Lspan,EI,meff)+3</f>
        <v>20</v>
      </c>
      <c r="H169" s="11" t="s">
        <v>379</v>
      </c>
      <c r="I169" s="9" t="s">
        <v>286</v>
      </c>
    </row>
    <row r="170" spans="6:9" x14ac:dyDescent="0.2">
      <c r="F170" s="5" t="s">
        <v>376</v>
      </c>
      <c r="G170" s="46">
        <v>20.3413990504291</v>
      </c>
      <c r="H170" s="11" t="s">
        <v>383</v>
      </c>
      <c r="I170" s="9" t="s">
        <v>286</v>
      </c>
    </row>
    <row r="171" spans="6:9" ht="15.75" thickBot="1" x14ac:dyDescent="0.25">
      <c r="F171" s="5" t="s">
        <v>377</v>
      </c>
      <c r="G171" s="47">
        <v>1.1086160118522199</v>
      </c>
      <c r="H171" s="11" t="s">
        <v>384</v>
      </c>
      <c r="I171" s="9" t="s">
        <v>286</v>
      </c>
    </row>
    <row r="172" spans="6:9" x14ac:dyDescent="0.2">
      <c r="F172" s="5" t="s">
        <v>381</v>
      </c>
      <c r="G172" s="37">
        <f>0.5*(1/(AETV*365.25*24*60^2*FDR_1))^(1/nfat)</f>
        <v>6.8476470539357237</v>
      </c>
      <c r="H172" s="11" t="s">
        <v>382</v>
      </c>
      <c r="I172" s="9" t="s">
        <v>286</v>
      </c>
    </row>
    <row r="173" spans="6:9" x14ac:dyDescent="0.2">
      <c r="F173" s="5" t="s">
        <v>380</v>
      </c>
      <c r="G173" s="37">
        <f>0.5*(1/(AETL*365.25*24*60^2*FDR_1))^(1/nfat)</f>
        <v>14.90741159850935</v>
      </c>
      <c r="H173" s="11" t="s">
        <v>382</v>
      </c>
      <c r="I173" s="9" t="s">
        <v>286</v>
      </c>
    </row>
    <row r="174" spans="6:9" x14ac:dyDescent="0.2">
      <c r="F174" s="38" t="s">
        <v>385</v>
      </c>
      <c r="G174" s="37">
        <f>epsCF_e_tilde/epsCF_e_tilde_sf</f>
        <v>0.51704926814426377</v>
      </c>
      <c r="H174" s="11" t="s">
        <v>387</v>
      </c>
      <c r="I174" s="9" t="s">
        <v>286</v>
      </c>
    </row>
    <row r="175" spans="6:9" ht="15.75" thickBot="1" x14ac:dyDescent="0.25">
      <c r="F175" s="38" t="s">
        <v>386</v>
      </c>
      <c r="G175" s="37">
        <f>epsIL_e_tilde/epsIL_e_tilde_sf</f>
        <v>7.3550412491355216E-2</v>
      </c>
      <c r="H175" s="11" t="s">
        <v>388</v>
      </c>
      <c r="I175" s="9" t="s">
        <v>286</v>
      </c>
    </row>
    <row r="176" spans="6:9" x14ac:dyDescent="0.2">
      <c r="F176" s="5" t="s">
        <v>637</v>
      </c>
      <c r="G176" s="46">
        <v>19.919737044014401</v>
      </c>
      <c r="H176" s="11" t="s">
        <v>642</v>
      </c>
      <c r="I176" s="9"/>
    </row>
    <row r="177" spans="2:9" ht="15.75" thickBot="1" x14ac:dyDescent="0.25">
      <c r="F177" s="5" t="s">
        <v>638</v>
      </c>
      <c r="G177" s="47">
        <v>1.10519293930659</v>
      </c>
      <c r="H177" s="11" t="s">
        <v>641</v>
      </c>
      <c r="I177" s="9"/>
    </row>
    <row r="178" spans="2:9" x14ac:dyDescent="0.2">
      <c r="F178" s="5" t="s">
        <v>639</v>
      </c>
      <c r="G178" s="37">
        <f>0.5*(1/(AETV_a*365.25*24*60^2*FDR_1))^(1/nfat)</f>
        <v>6.886107193797586</v>
      </c>
      <c r="H178" s="11" t="s">
        <v>643</v>
      </c>
      <c r="I178" s="9"/>
    </row>
    <row r="179" spans="2:9" x14ac:dyDescent="0.2">
      <c r="F179" s="5" t="s">
        <v>640</v>
      </c>
      <c r="G179" s="37">
        <f>0.5*(1/(AETL_a*365.25*24*60^2*FDR_1))^(1/nfat)</f>
        <v>14.919743115631377</v>
      </c>
      <c r="H179" s="11" t="s">
        <v>643</v>
      </c>
      <c r="I179" s="9"/>
    </row>
    <row r="180" spans="2:9" x14ac:dyDescent="0.2">
      <c r="F180" s="38" t="s">
        <v>644</v>
      </c>
      <c r="G180" s="37">
        <f>epsCF_e_tilde/epsCF_e_tilde_sfa</f>
        <v>0.51416145553713311</v>
      </c>
      <c r="H180" s="11" t="s">
        <v>646</v>
      </c>
      <c r="I180" s="9"/>
    </row>
    <row r="181" spans="2:9" x14ac:dyDescent="0.2">
      <c r="F181" s="38" t="s">
        <v>645</v>
      </c>
      <c r="G181" s="37">
        <f>epsIL_e_tilde/epsIL_e_tilde_sfa</f>
        <v>7.3489621352798754E-2</v>
      </c>
      <c r="H181" s="11" t="s">
        <v>647</v>
      </c>
      <c r="I181" s="9"/>
    </row>
    <row r="182" spans="2:9" x14ac:dyDescent="0.2">
      <c r="F182" s="5"/>
      <c r="G182"/>
      <c r="H182" s="11"/>
      <c r="I182" s="9"/>
    </row>
    <row r="183" spans="2:9" x14ac:dyDescent="0.2">
      <c r="B183" s="14" t="s">
        <v>216</v>
      </c>
      <c r="G183"/>
    </row>
    <row r="184" spans="2:9" x14ac:dyDescent="0.2">
      <c r="F184" s="5" t="s">
        <v>217</v>
      </c>
      <c r="G184" s="10">
        <v>150</v>
      </c>
      <c r="H184" s="5" t="s">
        <v>489</v>
      </c>
      <c r="I184" s="10"/>
    </row>
    <row r="185" spans="2:9" x14ac:dyDescent="0.2">
      <c r="F185" s="5" t="s">
        <v>218</v>
      </c>
      <c r="G185" s="10">
        <f>24*0.0254</f>
        <v>0.60959999999999992</v>
      </c>
      <c r="H185" s="5" t="s">
        <v>429</v>
      </c>
      <c r="I185" s="10"/>
    </row>
    <row r="186" spans="2:9" x14ac:dyDescent="0.2">
      <c r="F186" s="5" t="s">
        <v>219</v>
      </c>
      <c r="G186" s="10">
        <v>1.7000000000000001E-2</v>
      </c>
      <c r="H186" s="5" t="s">
        <v>430</v>
      </c>
      <c r="I186" s="10"/>
    </row>
    <row r="187" spans="2:9" x14ac:dyDescent="0.2">
      <c r="F187" s="5" t="s">
        <v>220</v>
      </c>
      <c r="G187" s="10">
        <v>6.0000000000000001E-3</v>
      </c>
      <c r="H187" s="5" t="s">
        <v>431</v>
      </c>
      <c r="I187" s="10"/>
    </row>
    <row r="188" spans="2:9" x14ac:dyDescent="0.2">
      <c r="F188" s="5" t="s">
        <v>221</v>
      </c>
      <c r="G188" s="10">
        <v>0.04</v>
      </c>
      <c r="H188" s="5" t="s">
        <v>432</v>
      </c>
      <c r="I188" s="10"/>
    </row>
    <row r="189" spans="2:9" x14ac:dyDescent="0.2">
      <c r="F189" s="5" t="s">
        <v>222</v>
      </c>
      <c r="G189" s="10">
        <v>100</v>
      </c>
      <c r="H189" s="5" t="s">
        <v>433</v>
      </c>
      <c r="I189" s="10"/>
    </row>
    <row r="190" spans="2:9" x14ac:dyDescent="0.2">
      <c r="F190" s="5" t="s">
        <v>223</v>
      </c>
      <c r="G190" s="10">
        <v>7850</v>
      </c>
      <c r="H190" s="5" t="s">
        <v>434</v>
      </c>
      <c r="I190" s="10"/>
    </row>
    <row r="191" spans="2:9" x14ac:dyDescent="0.2">
      <c r="F191" s="5" t="s">
        <v>224</v>
      </c>
      <c r="G191" s="10">
        <v>1300</v>
      </c>
      <c r="H191" s="5" t="s">
        <v>435</v>
      </c>
      <c r="I191" s="10"/>
    </row>
    <row r="192" spans="2:9" x14ac:dyDescent="0.2">
      <c r="F192" s="5" t="s">
        <v>225</v>
      </c>
      <c r="G192" s="10">
        <v>2400</v>
      </c>
      <c r="H192" s="5" t="s">
        <v>436</v>
      </c>
      <c r="I192" s="10"/>
    </row>
    <row r="193" spans="2:10" x14ac:dyDescent="0.2">
      <c r="F193" s="5" t="s">
        <v>441</v>
      </c>
      <c r="G193" s="10">
        <v>1025</v>
      </c>
      <c r="H193" s="5" t="s">
        <v>442</v>
      </c>
      <c r="I193" s="10"/>
    </row>
    <row r="194" spans="2:10" x14ac:dyDescent="0.2">
      <c r="F194" s="5" t="s">
        <v>226</v>
      </c>
      <c r="G194" s="10">
        <v>207000</v>
      </c>
      <c r="H194" s="5" t="s">
        <v>437</v>
      </c>
      <c r="I194" s="10"/>
    </row>
    <row r="195" spans="2:10" x14ac:dyDescent="0.2">
      <c r="F195" s="5" t="s">
        <v>439</v>
      </c>
      <c r="G195" s="10">
        <v>5</v>
      </c>
      <c r="H195" s="5" t="s">
        <v>438</v>
      </c>
      <c r="I195" s="10"/>
    </row>
    <row r="196" spans="2:10" x14ac:dyDescent="0.2">
      <c r="F196" s="5" t="s">
        <v>451</v>
      </c>
      <c r="G196" s="10">
        <v>1</v>
      </c>
      <c r="H196" s="5" t="s">
        <v>440</v>
      </c>
      <c r="I196" s="10"/>
    </row>
    <row r="197" spans="2:10" x14ac:dyDescent="0.2">
      <c r="F197" s="5" t="s">
        <v>452</v>
      </c>
      <c r="G197" s="10">
        <v>1.5</v>
      </c>
      <c r="H197" s="5" t="s">
        <v>472</v>
      </c>
      <c r="I197" s="10"/>
    </row>
    <row r="198" spans="2:10" x14ac:dyDescent="0.2">
      <c r="F198" s="5" t="s">
        <v>507</v>
      </c>
      <c r="G198" s="10">
        <f>1.0000000001*Ng_p</f>
        <v>1.0000000001</v>
      </c>
      <c r="H198" s="5" t="s">
        <v>509</v>
      </c>
      <c r="I198" s="10"/>
    </row>
    <row r="199" spans="2:10" x14ac:dyDescent="0.2">
      <c r="F199" s="5" t="s">
        <v>508</v>
      </c>
      <c r="G199" s="10">
        <v>22.283543454312667</v>
      </c>
      <c r="H199" s="5" t="s">
        <v>510</v>
      </c>
      <c r="I199" s="10">
        <v>22.283543454312667</v>
      </c>
      <c r="J199">
        <v>195.36110874471746</v>
      </c>
    </row>
    <row r="200" spans="2:10" x14ac:dyDescent="0.2">
      <c r="F200" s="5" t="s">
        <v>511</v>
      </c>
      <c r="G200" s="10">
        <v>100</v>
      </c>
      <c r="H200" s="5" t="s">
        <v>512</v>
      </c>
      <c r="I200" s="10"/>
    </row>
    <row r="201" spans="2:10" x14ac:dyDescent="0.2">
      <c r="F201" s="5"/>
      <c r="H201" s="5"/>
      <c r="I201" s="10"/>
    </row>
    <row r="202" spans="2:10" x14ac:dyDescent="0.2">
      <c r="F202" s="5"/>
      <c r="H202" s="5"/>
      <c r="I202" s="10"/>
    </row>
    <row r="203" spans="2:10" x14ac:dyDescent="0.2">
      <c r="B203" s="14" t="s">
        <v>559</v>
      </c>
      <c r="I203" s="10"/>
    </row>
    <row r="204" spans="2:10" x14ac:dyDescent="0.2">
      <c r="F204" s="5" t="s">
        <v>453</v>
      </c>
      <c r="G204" s="37">
        <f>Ds+2*(tcc+twc)</f>
        <v>0.70159999999999989</v>
      </c>
      <c r="H204" s="5" t="s">
        <v>473</v>
      </c>
      <c r="I204" s="9" t="s">
        <v>286</v>
      </c>
    </row>
    <row r="205" spans="2:10" x14ac:dyDescent="0.2">
      <c r="F205" s="5" t="s">
        <v>454</v>
      </c>
      <c r="G205" s="37" cm="1">
        <f t="array" ref="G205">pipew2(Ds,ts,tcc,twc,rhoi,rhos,rhocc,rhowc,rhosw)*g/10^6</f>
        <v>9.1050115550812371E-4</v>
      </c>
      <c r="H205" s="5" t="s">
        <v>474</v>
      </c>
      <c r="I205" s="9" t="s">
        <v>286</v>
      </c>
    </row>
    <row r="206" spans="2:10" x14ac:dyDescent="0.2">
      <c r="F206" s="5" t="s">
        <v>455</v>
      </c>
      <c r="G206" s="37" cm="1">
        <f t="array" ref="G206">0.25*PI()*Dc_p^2*rhosw</f>
        <v>396.27156263430959</v>
      </c>
      <c r="H206" s="5" t="s">
        <v>475</v>
      </c>
      <c r="I206" s="9" t="s">
        <v>286</v>
      </c>
    </row>
    <row r="207" spans="2:10" x14ac:dyDescent="0.2">
      <c r="C207">
        <f>LN(mratio_p/mratio)</f>
        <v>7.9408573875029295E-2</v>
      </c>
      <c r="F207" s="5" t="s">
        <v>456</v>
      </c>
      <c r="G207" s="37" cm="1">
        <f t="array" ref="G207">1+qw_p/(mdw_p*g/10^6)</f>
        <v>1.234217093018968</v>
      </c>
      <c r="H207" s="5" t="s">
        <v>476</v>
      </c>
      <c r="I207" s="9" t="s">
        <v>286</v>
      </c>
    </row>
    <row r="208" spans="2:10" x14ac:dyDescent="0.2">
      <c r="F208" s="5" t="s">
        <v>457</v>
      </c>
      <c r="G208" s="37" cm="1">
        <f t="array" ref="G208">(mratio_p+1)*mdw_p/10^6</f>
        <v>8.8535669871491103E-4</v>
      </c>
      <c r="H208" s="5" t="s">
        <v>477</v>
      </c>
      <c r="I208" s="9" t="s">
        <v>286</v>
      </c>
    </row>
    <row r="209" spans="6:9" x14ac:dyDescent="0.2">
      <c r="F209" s="5" t="s">
        <v>458</v>
      </c>
      <c r="G209" s="37" cm="1">
        <f t="array" ref="G209">pipeI(Ds,ts)*E_p</f>
        <v>287.82025295475523</v>
      </c>
      <c r="H209" s="5" t="s">
        <v>478</v>
      </c>
      <c r="I209" s="9" t="s">
        <v>286</v>
      </c>
    </row>
    <row r="210" spans="6:9" x14ac:dyDescent="0.2">
      <c r="F210" s="5" t="s">
        <v>459</v>
      </c>
      <c r="G210" s="37" cm="1">
        <f t="array" ref="G210">pipeA(Ds,ts)*E_p</f>
        <v>6551.3497719898478</v>
      </c>
      <c r="H210" s="5" t="s">
        <v>479</v>
      </c>
      <c r="I210" s="9" t="s">
        <v>286</v>
      </c>
    </row>
    <row r="211" spans="6:9" x14ac:dyDescent="0.2">
      <c r="F211" s="5" t="s">
        <v>460</v>
      </c>
      <c r="G211" s="37">
        <f>Lspan_p+2*SQRT(EA/ka)</f>
        <v>2652.2070258074173</v>
      </c>
      <c r="H211" s="5" t="s">
        <v>480</v>
      </c>
      <c r="I211" s="9" t="s">
        <v>286</v>
      </c>
    </row>
    <row r="212" spans="6:9" x14ac:dyDescent="0.2">
      <c r="F212" s="5" t="s">
        <v>461</v>
      </c>
      <c r="G212" s="37">
        <f>0.5*SQRT(EA_p*ka)</f>
        <v>90.494128069103525</v>
      </c>
      <c r="H212" s="5" t="s">
        <v>443</v>
      </c>
      <c r="I212" s="9" t="s">
        <v>286</v>
      </c>
    </row>
    <row r="213" spans="6:9" x14ac:dyDescent="0.2">
      <c r="F213" s="5"/>
      <c r="G213" s="37"/>
      <c r="H213" s="5"/>
      <c r="I213" s="10"/>
    </row>
    <row r="214" spans="6:9" x14ac:dyDescent="0.2">
      <c r="F214" s="5"/>
      <c r="G214" s="37"/>
      <c r="I214" s="10"/>
    </row>
    <row r="215" spans="6:9" x14ac:dyDescent="0.2">
      <c r="F215" s="5" t="s">
        <v>464</v>
      </c>
      <c r="G215" s="37" cm="1">
        <f t="array" ref="G215">Ng_p-dnss(qw_p,Ng_p,Lspan_p,EI_p,EA_p,kx_p)</f>
        <v>-1.6777687661760932</v>
      </c>
      <c r="H215" s="5" t="s">
        <v>521</v>
      </c>
      <c r="I215" s="9" t="s">
        <v>286</v>
      </c>
    </row>
    <row r="216" spans="6:9" x14ac:dyDescent="0.2">
      <c r="F216" s="5" t="s">
        <v>465</v>
      </c>
      <c r="G216" s="37" cm="1">
        <f t="array" ref="G216">vss(0,qw_p,EI_p,Ng_p,Lspan_p)</f>
        <v>2.3050252878791553</v>
      </c>
      <c r="H216" s="5" t="s">
        <v>483</v>
      </c>
      <c r="I216" s="9" t="s">
        <v>286</v>
      </c>
    </row>
    <row r="217" spans="6:9" x14ac:dyDescent="0.2">
      <c r="F217" s="5" t="s">
        <v>466</v>
      </c>
      <c r="G217" s="54">
        <v>6.5162450815819595</v>
      </c>
      <c r="H217" s="5" t="s">
        <v>484</v>
      </c>
      <c r="I217" s="9" t="s">
        <v>286</v>
      </c>
    </row>
    <row r="218" spans="6:9" x14ac:dyDescent="0.2">
      <c r="F218" s="5" t="s">
        <v>468</v>
      </c>
      <c r="G218" s="37" cm="1">
        <f t="array" ref="G218">qqss(N0_p,N_p-N0_p,Lspan_p,EI_p,EA_p,kx_p)</f>
        <v>9.3627942234805143E-3</v>
      </c>
      <c r="H218" s="5" t="s">
        <v>485</v>
      </c>
      <c r="I218" s="9" t="s">
        <v>286</v>
      </c>
    </row>
    <row r="219" spans="6:9" x14ac:dyDescent="0.2">
      <c r="F219" s="5" t="s">
        <v>469</v>
      </c>
      <c r="G219" s="37" cm="1">
        <f t="array" ref="G219">SQRT(qc_p^2-qw_p^2)</f>
        <v>9.3184174255641957E-3</v>
      </c>
      <c r="H219" s="5" t="s">
        <v>486</v>
      </c>
      <c r="I219" s="9" t="s">
        <v>286</v>
      </c>
    </row>
    <row r="220" spans="6:9" x14ac:dyDescent="0.2">
      <c r="F220" s="5" t="s">
        <v>495</v>
      </c>
      <c r="G220" s="37" cm="1">
        <f t="array" ref="G220">vss(0,qc_p,EI_p,N_p,Lspan_p)</f>
        <v>3.9776462503790326</v>
      </c>
      <c r="H220" s="5" t="s">
        <v>498</v>
      </c>
      <c r="I220" s="9" t="s">
        <v>286</v>
      </c>
    </row>
    <row r="221" spans="6:9" x14ac:dyDescent="0.2">
      <c r="F221" s="5" t="s">
        <v>496</v>
      </c>
      <c r="G221" s="37">
        <f>wc_p*qd_p/qc_p</f>
        <v>3.9587934165323806</v>
      </c>
      <c r="H221" s="5" t="s">
        <v>499</v>
      </c>
      <c r="I221" s="9" t="s">
        <v>286</v>
      </c>
    </row>
    <row r="222" spans="6:9" x14ac:dyDescent="0.2">
      <c r="F222" s="5" t="s">
        <v>497</v>
      </c>
      <c r="G222" s="37">
        <f>wc_p*qw_p/qc_p</f>
        <v>0.38681310522558471</v>
      </c>
      <c r="H222" s="5" t="s">
        <v>500</v>
      </c>
      <c r="I222" s="9" t="s">
        <v>286</v>
      </c>
    </row>
    <row r="223" spans="6:9" x14ac:dyDescent="0.2">
      <c r="F223" s="5" t="s">
        <v>503</v>
      </c>
      <c r="G223" s="37" cm="1">
        <f t="array" ref="G223">vxssend(qc_p,EI_p,N_p,Lspan_p)</f>
        <v>9.8213648251011407E-2</v>
      </c>
      <c r="H223" s="5" t="s">
        <v>504</v>
      </c>
      <c r="I223" s="9" t="s">
        <v>286</v>
      </c>
    </row>
    <row r="224" spans="6:9" x14ac:dyDescent="0.2">
      <c r="F224" s="5" t="s">
        <v>470</v>
      </c>
      <c r="G224" s="37" cm="1">
        <f t="array" ref="G224">SQRT(qd_p/(0.5*Cd_p*rhosw*Dc_p/10^6))</f>
        <v>4.1565568612314019</v>
      </c>
      <c r="H224" s="5" t="s">
        <v>487</v>
      </c>
      <c r="I224" s="9" t="s">
        <v>286</v>
      </c>
    </row>
    <row r="225" spans="2:11" x14ac:dyDescent="0.2">
      <c r="F225" s="5" t="s">
        <v>471</v>
      </c>
      <c r="G225" s="37" cm="1">
        <f t="array" ref="G225">Dc_p/(St*Uc_p)</f>
        <v>0.84396776397297646</v>
      </c>
      <c r="H225" s="5" t="s">
        <v>488</v>
      </c>
      <c r="I225" s="9" t="s">
        <v>286</v>
      </c>
    </row>
    <row r="226" spans="2:11" x14ac:dyDescent="0.2">
      <c r="F226" s="5" t="s">
        <v>873</v>
      </c>
      <c r="G226" s="37">
        <f>1/Tst_p</f>
        <v>1.1848793789143108</v>
      </c>
      <c r="H226" s="5" t="s">
        <v>874</v>
      </c>
      <c r="I226" s="9"/>
    </row>
    <row r="227" spans="2:11" x14ac:dyDescent="0.2">
      <c r="F227" s="5" t="s">
        <v>467</v>
      </c>
      <c r="G227" s="37" cm="1">
        <f t="array" ref="G227">gcompat(qc_p,N0_p,N_p-N0_p,Lspan_p,EI_p,EA_p,kx_p)</f>
        <v>0</v>
      </c>
      <c r="H227" s="5" t="s">
        <v>526</v>
      </c>
      <c r="I227" s="9" t="s">
        <v>286</v>
      </c>
      <c r="K227" s="5"/>
    </row>
    <row r="228" spans="2:11" x14ac:dyDescent="0.2">
      <c r="F228" s="5" t="s">
        <v>447</v>
      </c>
      <c r="G228" s="37" cm="1">
        <f t="array" ref="G228">SQRT(SUMSQ(qw_p,qd_p))-qc_p</f>
        <v>0</v>
      </c>
      <c r="H228" s="5" t="s">
        <v>527</v>
      </c>
      <c r="I228" s="9" t="s">
        <v>286</v>
      </c>
    </row>
    <row r="229" spans="2:11" x14ac:dyDescent="0.2">
      <c r="F229" s="5" t="s">
        <v>448</v>
      </c>
      <c r="G229" s="37" cm="1">
        <f t="array" ref="G229">0.5*Cd_p*rhosw*Uc_p^2*Dc_p/10^6-qd_p</f>
        <v>0</v>
      </c>
      <c r="H229" s="5" t="s">
        <v>528</v>
      </c>
      <c r="I229" s="9" t="s">
        <v>286</v>
      </c>
    </row>
    <row r="230" spans="2:11" x14ac:dyDescent="0.2">
      <c r="B230" s="14" t="s">
        <v>878</v>
      </c>
      <c r="F230" s="5"/>
      <c r="G230" s="37"/>
      <c r="H230" s="5"/>
      <c r="I230" s="9"/>
    </row>
    <row r="231" spans="2:11" ht="16.5" x14ac:dyDescent="0.25">
      <c r="C231" s="11" t="s">
        <v>872</v>
      </c>
      <c r="F231" s="5" t="s">
        <v>861</v>
      </c>
      <c r="G231" s="37">
        <f>PI()*SQRT(2*EI_p)/SQRT(SQRT(N_p^2+16*PI()^2*EI_p*meff_p*fst_p^2)-N_p)</f>
        <v>40.690055940032067</v>
      </c>
      <c r="H231" s="5" t="s">
        <v>858</v>
      </c>
      <c r="I231" s="9" t="s">
        <v>286</v>
      </c>
    </row>
    <row r="232" spans="2:11" x14ac:dyDescent="0.2">
      <c r="F232" s="5" t="s">
        <v>862</v>
      </c>
      <c r="G232" s="37">
        <f>Lspan_p/Lst_nap</f>
        <v>3.686404369191973</v>
      </c>
      <c r="H232" s="5" t="s">
        <v>860</v>
      </c>
      <c r="I232" s="9"/>
    </row>
    <row r="233" spans="2:11" x14ac:dyDescent="0.2">
      <c r="F233" s="5" t="s">
        <v>863</v>
      </c>
      <c r="G233" s="37">
        <f>N_p*Lst_nap^2/(PI()^2*EI_p)</f>
        <v>3.7979818767811389</v>
      </c>
      <c r="H233" s="5" t="s">
        <v>859</v>
      </c>
      <c r="I233" s="9"/>
    </row>
    <row r="234" spans="2:11" ht="16.5" x14ac:dyDescent="0.25">
      <c r="C234" s="11" t="s">
        <v>870</v>
      </c>
      <c r="F234" s="5" t="s">
        <v>864</v>
      </c>
      <c r="G234" s="37">
        <f>4.9*L_tilde_nap^0.152*N_tilde_nap^0.157/mratio_p^0.593</f>
        <v>6.5030088050550381</v>
      </c>
      <c r="H234" s="5" t="s">
        <v>866</v>
      </c>
      <c r="I234" s="9"/>
    </row>
    <row r="235" spans="2:11" ht="16.5" x14ac:dyDescent="0.25">
      <c r="C235" s="11" t="s">
        <v>871</v>
      </c>
      <c r="F235" s="5" t="s">
        <v>865</v>
      </c>
      <c r="G235" s="37">
        <f>2.72*L_tilde_nap^0.215*N_tilde_nap^0.214/mratio_p^0.244</f>
        <v>4.5510679648137407</v>
      </c>
      <c r="H235" s="5" t="s">
        <v>867</v>
      </c>
      <c r="I235" s="9"/>
    </row>
    <row r="236" spans="2:11" ht="16.5" x14ac:dyDescent="0.25">
      <c r="C236" s="11" t="s">
        <v>877</v>
      </c>
      <c r="F236" s="5" t="s">
        <v>869</v>
      </c>
      <c r="G236" s="37">
        <f>(2*E_p*10^6*epsCF_e_tilde_nap*Dc_p*0.5*Ds/Lst_nap^2)^nfat/(Tst_p*afat)</f>
        <v>1.513497306618956E-4</v>
      </c>
      <c r="H236" s="5" t="s">
        <v>875</v>
      </c>
      <c r="I236" s="9"/>
    </row>
    <row r="237" spans="2:11" x14ac:dyDescent="0.2">
      <c r="F237" s="5" t="s">
        <v>868</v>
      </c>
      <c r="G237" s="37">
        <f>(2*E_p*10^6*epsIL_e_tilde_nap*Dc_p*0.5*Ds/Lst_nap^2)^nfat/(Tst_p*afat)</f>
        <v>3.9836193623955203E-5</v>
      </c>
      <c r="H237" s="5" t="s">
        <v>876</v>
      </c>
      <c r="I237" s="9"/>
    </row>
    <row r="238" spans="2:11" x14ac:dyDescent="0.2">
      <c r="F238" s="5"/>
      <c r="G238" s="37"/>
      <c r="H238" s="5"/>
      <c r="I238" s="9"/>
    </row>
    <row r="239" spans="2:11" x14ac:dyDescent="0.2">
      <c r="F239" s="5"/>
      <c r="G239" s="37"/>
      <c r="H239" s="5"/>
      <c r="I239" s="9"/>
    </row>
    <row r="240" spans="2:11" x14ac:dyDescent="0.2">
      <c r="B240" s="14" t="s">
        <v>558</v>
      </c>
      <c r="F240" s="5"/>
      <c r="G240" s="37"/>
      <c r="H240" s="5"/>
      <c r="I240" s="9"/>
    </row>
    <row r="241" spans="1:12" x14ac:dyDescent="0.2">
      <c r="F241" s="5" t="s">
        <v>462</v>
      </c>
      <c r="G241" s="37">
        <f>lambdaUsed*Lspan_p/Lspan</f>
        <v>58.301424148606934</v>
      </c>
      <c r="H241" s="5" t="s">
        <v>481</v>
      </c>
      <c r="I241" s="9" t="s">
        <v>286</v>
      </c>
    </row>
    <row r="242" spans="1:12" x14ac:dyDescent="0.2">
      <c r="F242" s="5" t="s">
        <v>463</v>
      </c>
      <c r="G242" s="37" cm="1">
        <f t="array" ref="G242">Lst*Lspan_p/Lspan</f>
        <v>38.553866262879836</v>
      </c>
      <c r="H242" s="5" t="s">
        <v>482</v>
      </c>
      <c r="I242" s="9" t="s">
        <v>286</v>
      </c>
    </row>
    <row r="243" spans="1:12" ht="16.5" x14ac:dyDescent="0.25">
      <c r="F243" s="5" t="s">
        <v>444</v>
      </c>
      <c r="G243" s="37">
        <f>(EI_p+N_p*(lambda_p/PI())^2)/(1+lambdaUsed_tilde^2*Navg_tilde)</f>
        <v>10.260721333297976</v>
      </c>
      <c r="H243" s="11" t="s">
        <v>522</v>
      </c>
      <c r="I243" s="9" t="s">
        <v>286</v>
      </c>
      <c r="K243" s="53"/>
    </row>
    <row r="244" spans="1:12" x14ac:dyDescent="0.2">
      <c r="A244" s="13" t="s">
        <v>501</v>
      </c>
      <c r="F244" s="5" t="s">
        <v>445</v>
      </c>
      <c r="G244" s="37" cm="1">
        <f t="array" ref="G244">Navg_tilde*PI()^2*EIadj/Lst_p^2</f>
        <v>7.3221755305973062</v>
      </c>
      <c r="H244" s="5" t="str">
        <f>"Prototype Adjusted axial force.  C.f. unadjusted value is "&amp;ROUND(N_p,3)&amp;"  (MN)"</f>
        <v>Prototype Adjusted axial force.  C.f. unadjusted value is 6.516  (MN)</v>
      </c>
      <c r="I244" s="9" t="s">
        <v>286</v>
      </c>
    </row>
    <row r="245" spans="1:12" x14ac:dyDescent="0.2">
      <c r="F245" s="55" t="s">
        <v>446</v>
      </c>
      <c r="G245" s="56" cm="1">
        <f t="array" ref="G245">((PI()/Lst_p)^4*EIadj+(PI()/Lst_p)^2*Nadj)/meff_p-(2*PI()/Tst_p)^2</f>
        <v>1.0672351891116705E-11</v>
      </c>
      <c r="H245" s="57" t="s">
        <v>523</v>
      </c>
      <c r="I245" s="9" t="s">
        <v>286</v>
      </c>
    </row>
    <row r="246" spans="1:12" x14ac:dyDescent="0.2">
      <c r="F246" s="5" t="s">
        <v>490</v>
      </c>
      <c r="G246" s="37">
        <f>0.5*Ds*Dc_p/Lst_p^2</f>
        <v>1.4386947869301893E-4</v>
      </c>
      <c r="H246" s="5" t="s">
        <v>530</v>
      </c>
      <c r="I246" s="9" t="s">
        <v>286</v>
      </c>
    </row>
    <row r="247" spans="1:12" x14ac:dyDescent="0.2">
      <c r="F247" s="5" t="s">
        <v>449</v>
      </c>
      <c r="G247" s="37">
        <f>epsCF_e_tilde*eps_1p</f>
        <v>5.0938008933463423E-4</v>
      </c>
      <c r="H247" s="5" t="s">
        <v>524</v>
      </c>
      <c r="I247" s="9" t="s">
        <v>286</v>
      </c>
      <c r="L247" s="11"/>
    </row>
    <row r="248" spans="1:12" x14ac:dyDescent="0.2">
      <c r="F248" s="5" t="s">
        <v>450</v>
      </c>
      <c r="G248" s="37">
        <f>epsIL_e_tilde*eps_1p</f>
        <v>1.5774515360333528E-4</v>
      </c>
      <c r="H248" s="5" t="s">
        <v>525</v>
      </c>
      <c r="I248" s="9" t="s">
        <v>286</v>
      </c>
    </row>
    <row r="249" spans="1:12" x14ac:dyDescent="0.2">
      <c r="F249" s="5" t="s">
        <v>491</v>
      </c>
      <c r="G249" s="37">
        <f>(2*epsCF_ep*E_p*10^6)^nfat/(afat*Tst_p)</f>
        <v>2.3315909363752806E-5</v>
      </c>
      <c r="H249" s="5" t="s">
        <v>493</v>
      </c>
      <c r="I249" s="9" t="s">
        <v>286</v>
      </c>
    </row>
    <row r="250" spans="1:12" x14ac:dyDescent="0.2">
      <c r="F250" s="5" t="s">
        <v>492</v>
      </c>
      <c r="G250" s="37">
        <f>(2*epsIL_ep*E_p*10^6)^nfat/(afat*Tst_p)</f>
        <v>2.9085125566320836E-7</v>
      </c>
      <c r="H250" s="5" t="s">
        <v>494</v>
      </c>
      <c r="I250" s="9" t="s">
        <v>286</v>
      </c>
    </row>
    <row r="251" spans="1:12" ht="16.5" x14ac:dyDescent="0.25">
      <c r="F251" s="5" t="s">
        <v>538</v>
      </c>
      <c r="G251" s="37">
        <f>(E_p*(Ds/2)*Dc_p/Lst_p^2)^nfat/(afat*10^(-nfat*6)*Tst_p)</f>
        <v>1.5426451931360477E-8</v>
      </c>
      <c r="H251" s="11" t="s">
        <v>539</v>
      </c>
      <c r="I251" s="9" t="s">
        <v>286</v>
      </c>
      <c r="K251" s="5"/>
    </row>
    <row r="252" spans="1:12" x14ac:dyDescent="0.2">
      <c r="F252" s="5" t="s">
        <v>502</v>
      </c>
      <c r="G252" s="37">
        <f>PI()*SQRT(2*EIadj)/SQRT(SQRT(Nadj^2+16*PI()^2*EIadj*meff_p/Tst_p^2)-Nadj)-Lst_p</f>
        <v>3.709033080667723E-12</v>
      </c>
      <c r="H252" s="5" t="s">
        <v>529</v>
      </c>
      <c r="I252" s="9" t="s">
        <v>286</v>
      </c>
    </row>
    <row r="253" spans="1:12" x14ac:dyDescent="0.2">
      <c r="F253" s="5" t="s">
        <v>562</v>
      </c>
      <c r="G253" s="37">
        <f>((PI()/lambda_p)^4*EIadj+(PI()/lambda_p)^2*Nadj)/((PI()/lambda_p)^4*EI_p+(PI()/lambda_p)^2*N_p)-1</f>
        <v>0</v>
      </c>
      <c r="H253" s="5" t="s">
        <v>563</v>
      </c>
      <c r="I253" s="9"/>
    </row>
    <row r="254" spans="1:12" x14ac:dyDescent="0.2">
      <c r="F254" s="5" t="s">
        <v>566</v>
      </c>
      <c r="G254" s="37">
        <f>EIadj/EI_p</f>
        <v>3.5649754414297387E-2</v>
      </c>
      <c r="H254" s="5" t="s">
        <v>567</v>
      </c>
      <c r="I254" s="9"/>
    </row>
    <row r="255" spans="1:12" x14ac:dyDescent="0.2">
      <c r="F255" s="5" t="s">
        <v>564</v>
      </c>
      <c r="G255" s="37">
        <f>((2*PI()/lambda_p)^4*EIadj+(2*PI()/lambda_p)^2*Nadj)/((2*PI()/lambda_p)^4*EI_p+(2*PI()/lambda_p)^2*N_p)</f>
        <v>0.75476651302278075</v>
      </c>
      <c r="H255" s="5" t="s">
        <v>568</v>
      </c>
      <c r="I255" s="9"/>
    </row>
    <row r="256" spans="1:12" x14ac:dyDescent="0.2">
      <c r="F256" s="5"/>
      <c r="G256" s="37"/>
      <c r="H256" s="5"/>
      <c r="I256" s="9"/>
    </row>
    <row r="257" spans="2:9" ht="15.75" thickBot="1" x14ac:dyDescent="0.25">
      <c r="B257" s="14" t="s">
        <v>560</v>
      </c>
      <c r="F257" s="5"/>
      <c r="G257" s="37"/>
      <c r="H257" s="5"/>
      <c r="I257" s="9"/>
    </row>
    <row r="258" spans="2:9" x14ac:dyDescent="0.2">
      <c r="F258" s="5" t="s">
        <v>531</v>
      </c>
      <c r="G258" s="46">
        <v>1.5178328969654099E-4</v>
      </c>
      <c r="H258" s="5" t="s">
        <v>535</v>
      </c>
      <c r="I258" s="9"/>
    </row>
    <row r="259" spans="2:9" ht="15.75" thickBot="1" x14ac:dyDescent="0.25">
      <c r="F259" s="5" t="s">
        <v>532</v>
      </c>
      <c r="G259" s="47">
        <v>1.5605413139756401E-4</v>
      </c>
      <c r="H259" s="5" t="s">
        <v>536</v>
      </c>
      <c r="I259" s="9"/>
    </row>
    <row r="260" spans="2:9" x14ac:dyDescent="0.2">
      <c r="F260" s="5" t="s">
        <v>533</v>
      </c>
      <c r="G260" s="37">
        <f>0.5*(1/(AETV_p*365.25*24*60^2*FDR_1p))^(1/nfat)</f>
        <v>6.3624447014566794</v>
      </c>
      <c r="H260" s="11" t="s">
        <v>537</v>
      </c>
      <c r="I260" s="9"/>
    </row>
    <row r="261" spans="2:9" x14ac:dyDescent="0.2">
      <c r="F261" s="5" t="s">
        <v>534</v>
      </c>
      <c r="G261" s="37">
        <f>0.5*(1/(AETL_p*365.25*24*60^2*FDR_1p))^(1/nfat)</f>
        <v>6.3154128363245405</v>
      </c>
      <c r="H261" s="11" t="s">
        <v>537</v>
      </c>
      <c r="I261" s="10"/>
    </row>
    <row r="262" spans="2:9" x14ac:dyDescent="0.2">
      <c r="F262" s="38" t="s">
        <v>543</v>
      </c>
      <c r="G262" s="37">
        <f>1/(365.25*24*60^2*AETV_p)</f>
        <v>2.0877191341275227E-4</v>
      </c>
      <c r="H262" s="11" t="s">
        <v>545</v>
      </c>
      <c r="I262" s="10"/>
    </row>
    <row r="263" spans="2:9" ht="15.75" thickBot="1" x14ac:dyDescent="0.25">
      <c r="F263" s="38" t="s">
        <v>544</v>
      </c>
      <c r="G263" s="37">
        <f>1/(365.25*24*60^2*AETL_p)</f>
        <v>2.030583075900777E-4</v>
      </c>
      <c r="H263" s="11" t="s">
        <v>546</v>
      </c>
      <c r="I263" s="10"/>
    </row>
    <row r="264" spans="2:9" x14ac:dyDescent="0.2">
      <c r="F264" s="38" t="s">
        <v>540</v>
      </c>
      <c r="G264" s="61">
        <f>LN(epsCF_e_tilde_sfp/epsCF_e_tilde_sf)</f>
        <v>-7.3492406974383959E-2</v>
      </c>
      <c r="H264" s="11" t="s">
        <v>542</v>
      </c>
      <c r="I264" s="10"/>
    </row>
    <row r="265" spans="2:9" ht="15.75" thickBot="1" x14ac:dyDescent="0.25">
      <c r="F265" s="38" t="s">
        <v>541</v>
      </c>
      <c r="G265" s="62">
        <f>LN(epsIL_e_tilde_sfp/epsIL_e_tilde_sf)</f>
        <v>-0.85886538440769289</v>
      </c>
      <c r="H265" s="11" t="s">
        <v>542</v>
      </c>
      <c r="I265" s="10"/>
    </row>
    <row r="266" spans="2:9" ht="15.75" thickBot="1" x14ac:dyDescent="0.25">
      <c r="F266" s="38"/>
      <c r="G266" s="37"/>
      <c r="H266" s="11"/>
      <c r="I266" s="10"/>
    </row>
    <row r="267" spans="2:9" x14ac:dyDescent="0.2">
      <c r="F267" s="5" t="s">
        <v>548</v>
      </c>
      <c r="G267" s="46">
        <v>1.5120725033276099E-4</v>
      </c>
      <c r="H267" s="5" t="s">
        <v>550</v>
      </c>
      <c r="I267" s="10"/>
    </row>
    <row r="268" spans="2:9" ht="15.75" thickBot="1" x14ac:dyDescent="0.25">
      <c r="F268" s="5" t="s">
        <v>549</v>
      </c>
      <c r="G268" s="47">
        <v>1.5601665136016901E-4</v>
      </c>
      <c r="H268" s="5" t="s">
        <v>551</v>
      </c>
      <c r="I268" s="10"/>
    </row>
    <row r="269" spans="2:9" x14ac:dyDescent="0.2">
      <c r="F269" s="38" t="s">
        <v>552</v>
      </c>
      <c r="G269" s="37">
        <f>1/(365.25*24*60^2*AETV_ap)</f>
        <v>2.0956725120186462E-4</v>
      </c>
      <c r="H269" s="11" t="s">
        <v>554</v>
      </c>
      <c r="I269" s="10"/>
    </row>
    <row r="270" spans="2:9" x14ac:dyDescent="0.2">
      <c r="F270" s="38" t="s">
        <v>553</v>
      </c>
      <c r="G270" s="37">
        <f>1/(365.25*24*60^2*AETL_ap)</f>
        <v>2.0310708849195894E-4</v>
      </c>
      <c r="H270" s="11" t="s">
        <v>555</v>
      </c>
      <c r="I270" s="10"/>
    </row>
    <row r="271" spans="2:9" x14ac:dyDescent="0.2">
      <c r="F271" s="38"/>
      <c r="G271" s="37"/>
      <c r="H271" s="11"/>
      <c r="I271" s="10"/>
    </row>
    <row r="272" spans="2:9" x14ac:dyDescent="0.2">
      <c r="F272" s="38"/>
      <c r="G272" s="37"/>
      <c r="H272" s="11"/>
      <c r="I272" s="10"/>
    </row>
    <row r="273" spans="2:15" x14ac:dyDescent="0.2">
      <c r="F273" s="38"/>
      <c r="G273" s="37"/>
      <c r="H273" s="11"/>
      <c r="I273" s="10"/>
    </row>
    <row r="274" spans="2:15" x14ac:dyDescent="0.2">
      <c r="H274" s="11"/>
    </row>
    <row r="275" spans="2:15" x14ac:dyDescent="0.2">
      <c r="B275" s="14" t="s">
        <v>561</v>
      </c>
    </row>
    <row r="276" spans="2:15" x14ac:dyDescent="0.2">
      <c r="D276" s="69" t="s">
        <v>466</v>
      </c>
      <c r="E276" s="69"/>
      <c r="F276" s="69" t="s">
        <v>470</v>
      </c>
      <c r="G276" s="69" t="s">
        <v>497</v>
      </c>
      <c r="H276" s="70" t="s">
        <v>496</v>
      </c>
      <c r="I276" s="69" t="s">
        <v>503</v>
      </c>
      <c r="J276" s="71" t="str">
        <f>F262</f>
        <v>FDR_CF_sfp</v>
      </c>
      <c r="K276" s="71" t="str">
        <f>F263</f>
        <v>FDR_IL_sfp</v>
      </c>
      <c r="L276" s="71" t="str">
        <f>F269</f>
        <v>FDR_CF_sfap</v>
      </c>
      <c r="M276" s="71" t="str">
        <f>F270</f>
        <v>FDR_IL_sfap</v>
      </c>
      <c r="N276" s="71" t="s">
        <v>869</v>
      </c>
      <c r="O276" s="71" t="s">
        <v>868</v>
      </c>
    </row>
    <row r="277" spans="2:15" x14ac:dyDescent="0.2">
      <c r="D277" s="10">
        <f>N_pmin</f>
        <v>1.0000000001</v>
      </c>
      <c r="E277" s="10"/>
      <c r="F277" s="10">
        <v>4.9730243938780503E-3</v>
      </c>
      <c r="G277" s="10">
        <v>2.3050252876728368</v>
      </c>
      <c r="H277" s="10">
        <v>3.376844647014731E-5</v>
      </c>
      <c r="I277" s="10">
        <v>5.284515865065019E-2</v>
      </c>
    </row>
    <row r="278" spans="2:15" x14ac:dyDescent="0.2">
      <c r="D278" s="10">
        <v>1.002</v>
      </c>
      <c r="E278" s="10"/>
      <c r="F278" s="10">
        <v>0.33267829875372046</v>
      </c>
      <c r="G278" s="10">
        <v>2.3009062540760343</v>
      </c>
      <c r="H278" s="10">
        <v>0.1508488752124986</v>
      </c>
      <c r="I278" s="10">
        <v>5.2868282826688789E-2</v>
      </c>
      <c r="J278">
        <v>1.1934142024121279E-10</v>
      </c>
      <c r="K278">
        <v>1.1041206642935996E-10</v>
      </c>
      <c r="L278">
        <v>3.9748473376700903E-11</v>
      </c>
      <c r="M278">
        <v>1.1113999936810894E-10</v>
      </c>
      <c r="N278">
        <v>1.2338953258051881E-10</v>
      </c>
      <c r="O278">
        <v>2.9073610141257933E-11</v>
      </c>
    </row>
    <row r="279" spans="2:15" x14ac:dyDescent="0.2">
      <c r="D279" s="10">
        <v>1.004</v>
      </c>
      <c r="E279" s="10"/>
      <c r="F279" s="10">
        <v>0.39575656446617141</v>
      </c>
      <c r="G279" s="10">
        <v>2.2968018636851615</v>
      </c>
      <c r="H279" s="10">
        <v>0.21309536047198388</v>
      </c>
      <c r="I279" s="10">
        <v>5.2891396941733296E-2</v>
      </c>
      <c r="J279">
        <v>5.8601647120351191E-10</v>
      </c>
      <c r="K279">
        <v>3.9083769619238301E-10</v>
      </c>
      <c r="L279">
        <v>3.1548983143620638E-10</v>
      </c>
      <c r="M279">
        <v>3.9085356812067546E-10</v>
      </c>
      <c r="N279">
        <v>4.3718141738194607E-10</v>
      </c>
      <c r="O279">
        <v>9.9983717886847031E-11</v>
      </c>
    </row>
    <row r="280" spans="2:15" x14ac:dyDescent="0.2">
      <c r="D280" s="10">
        <v>1.006</v>
      </c>
      <c r="E280" s="10"/>
      <c r="F280" s="10">
        <v>0.4381239752610987</v>
      </c>
      <c r="G280" s="10">
        <v>2.2927120389168598</v>
      </c>
      <c r="H280" s="10">
        <v>0.260698035388095</v>
      </c>
      <c r="I280" s="10">
        <v>5.2914501009350072E-2</v>
      </c>
      <c r="J280">
        <v>1.3192456613036392E-9</v>
      </c>
      <c r="K280">
        <v>8.3417937989991067E-10</v>
      </c>
      <c r="L280">
        <v>8.2709284133178666E-10</v>
      </c>
      <c r="M280">
        <v>8.3427691384768017E-10</v>
      </c>
      <c r="N280">
        <v>9.0416810170687262E-10</v>
      </c>
      <c r="O280">
        <v>2.033217757597405E-10</v>
      </c>
    </row>
    <row r="281" spans="2:15" x14ac:dyDescent="0.2">
      <c r="D281" s="10">
        <v>1.008</v>
      </c>
      <c r="E281" s="10"/>
      <c r="F281" s="10">
        <v>0.47095314585805481</v>
      </c>
      <c r="G281" s="10">
        <v>2.2886367025308445</v>
      </c>
      <c r="H281" s="10">
        <v>0.30069518281378221</v>
      </c>
      <c r="I281" s="10">
        <v>5.2937595044222963E-2</v>
      </c>
      <c r="J281">
        <v>2.271259252542075E-9</v>
      </c>
      <c r="K281">
        <v>1.386349467927615E-9</v>
      </c>
      <c r="L281">
        <v>1.5366183402099433E-9</v>
      </c>
      <c r="M281">
        <v>1.386608795981331E-9</v>
      </c>
      <c r="N281">
        <v>1.5040755402847718E-9</v>
      </c>
      <c r="O281">
        <v>3.3430298443063818E-10</v>
      </c>
    </row>
    <row r="282" spans="2:15" x14ac:dyDescent="0.2">
      <c r="D282" s="10">
        <v>1.01</v>
      </c>
      <c r="E282" s="10"/>
      <c r="F282" s="10">
        <v>0.49813966592157205</v>
      </c>
      <c r="G282" s="10">
        <v>2.2845757778313733</v>
      </c>
      <c r="H282" s="10">
        <v>0.33581649622142973</v>
      </c>
      <c r="I282" s="10">
        <v>5.2960679060997037E-2</v>
      </c>
      <c r="J282">
        <v>3.4183821335086984E-9</v>
      </c>
      <c r="K282">
        <v>2.0221458734314633E-9</v>
      </c>
      <c r="L282">
        <v>2.4189173757129786E-9</v>
      </c>
      <c r="M282">
        <v>2.0226752460063418E-9</v>
      </c>
      <c r="N282">
        <v>2.2230427981943394E-9</v>
      </c>
      <c r="O282">
        <v>4.8976090807541375E-10</v>
      </c>
    </row>
    <row r="283" spans="2:15" x14ac:dyDescent="0.2">
      <c r="D283" s="10">
        <v>1.012</v>
      </c>
      <c r="E283" s="10"/>
      <c r="F283" s="10">
        <v>0.52154559001759349</v>
      </c>
      <c r="G283" s="10">
        <v>2.2805291886624683</v>
      </c>
      <c r="H283" s="10">
        <v>0.36746366146302029</v>
      </c>
      <c r="I283" s="10">
        <v>5.2983753074278703E-2</v>
      </c>
      <c r="J283">
        <v>4.7486827086819816E-9</v>
      </c>
      <c r="K283">
        <v>2.7280832073013042E-9</v>
      </c>
      <c r="L283">
        <v>3.4573548328096675E-9</v>
      </c>
      <c r="M283">
        <v>2.7289644380883384E-9</v>
      </c>
      <c r="N283">
        <v>3.0506933397278447E-9</v>
      </c>
      <c r="O283">
        <v>6.673772429048529E-10</v>
      </c>
    </row>
    <row r="284" spans="2:15" x14ac:dyDescent="0.2">
      <c r="D284" s="10">
        <v>1.014</v>
      </c>
      <c r="E284" s="10"/>
      <c r="F284" s="10">
        <v>0.54221900665800793</v>
      </c>
      <c r="G284" s="10">
        <v>2.2764968594031791</v>
      </c>
      <c r="H284" s="10">
        <v>0.39647037121684048</v>
      </c>
      <c r="I284" s="10">
        <v>5.3006817098635965E-2</v>
      </c>
      <c r="J284">
        <v>6.257152762444087E-9</v>
      </c>
      <c r="K284">
        <v>3.4900089065007571E-9</v>
      </c>
      <c r="L284">
        <v>4.640610085572926E-9</v>
      </c>
      <c r="M284">
        <v>3.4913347001537886E-9</v>
      </c>
      <c r="N284">
        <v>3.9788397980301784E-9</v>
      </c>
      <c r="O284">
        <v>8.6535359093313757E-10</v>
      </c>
    </row>
    <row r="285" spans="2:15" x14ac:dyDescent="0.2">
      <c r="D285" s="10">
        <v>1.016</v>
      </c>
      <c r="E285" s="10"/>
      <c r="F285" s="10">
        <v>0.56081343243821846</v>
      </c>
      <c r="G285" s="10">
        <v>2.2724787149628902</v>
      </c>
      <c r="H285" s="10">
        <v>0.42338049498425084</v>
      </c>
      <c r="I285" s="10">
        <v>5.3029871148598549E-2</v>
      </c>
      <c r="J285">
        <v>7.9435562419740368E-9</v>
      </c>
      <c r="K285">
        <v>3.4526056345473889E-9</v>
      </c>
      <c r="L285">
        <v>5.9608672817158404E-9</v>
      </c>
      <c r="M285">
        <v>3.4543392079667602E-9</v>
      </c>
      <c r="N285">
        <v>5.0007923670393106E-9</v>
      </c>
      <c r="O285">
        <v>1.0822406072337602E-9</v>
      </c>
    </row>
    <row r="286" spans="2:15" x14ac:dyDescent="0.2">
      <c r="D286" s="10">
        <v>1.018</v>
      </c>
      <c r="E286" s="10"/>
      <c r="F286" s="10">
        <v>0.57776621465058287</v>
      </c>
      <c r="G286" s="10">
        <v>2.2684746807766816</v>
      </c>
      <c r="H286" s="10">
        <v>0.44857227673411859</v>
      </c>
      <c r="I286" s="10">
        <v>5.305291523865787E-2</v>
      </c>
      <c r="J286">
        <v>9.8114222247120654E-9</v>
      </c>
      <c r="K286">
        <v>3.6845391625690188E-9</v>
      </c>
      <c r="L286">
        <v>7.4127633828189754E-9</v>
      </c>
      <c r="M286">
        <v>3.693762720302251E-9</v>
      </c>
      <c r="N286">
        <v>6.1109457322553457E-9</v>
      </c>
      <c r="O286">
        <v>1.3168379265902545E-9</v>
      </c>
    </row>
    <row r="287" spans="2:15" x14ac:dyDescent="0.2">
      <c r="D287" s="10">
        <v>1.02</v>
      </c>
      <c r="E287" s="10"/>
      <c r="F287" s="10">
        <v>0.59338565253686926</v>
      </c>
      <c r="G287" s="10">
        <v>2.264484682800747</v>
      </c>
      <c r="H287" s="10">
        <v>0.47232145958833116</v>
      </c>
      <c r="I287" s="10">
        <v>5.3075949383267332E-2</v>
      </c>
      <c r="J287">
        <v>1.1374507408180703E-8</v>
      </c>
      <c r="K287">
        <v>4.5596110754008729E-9</v>
      </c>
      <c r="L287">
        <v>8.9927460003567778E-9</v>
      </c>
      <c r="M287">
        <v>4.5717984237724724E-9</v>
      </c>
      <c r="N287">
        <v>7.3045129289608201E-9</v>
      </c>
      <c r="O287">
        <v>1.5681306959836511E-9</v>
      </c>
    </row>
    <row r="288" spans="2:15" x14ac:dyDescent="0.2">
      <c r="D288" s="10">
        <f>D277+(N_pmax-N_pmin)/1000</f>
        <v>1.0212835435542127</v>
      </c>
      <c r="E288" s="10"/>
      <c r="F288" s="10">
        <v>0.60281476301413028</v>
      </c>
      <c r="G288" s="10">
        <v>2.2619313751533263</v>
      </c>
      <c r="H288" s="10">
        <v>0.48690181333783011</v>
      </c>
      <c r="I288" s="10">
        <v>5.3090726814400878E-2</v>
      </c>
      <c r="J288">
        <v>1.1673474465614144E-8</v>
      </c>
      <c r="K288">
        <v>5.1354735156530644E-9</v>
      </c>
      <c r="L288">
        <v>1.0073166827430612E-8</v>
      </c>
      <c r="M288">
        <v>5.1497661521165076E-9</v>
      </c>
      <c r="N288">
        <v>8.1125073862167554E-9</v>
      </c>
      <c r="O288">
        <v>1.7377893308929704E-9</v>
      </c>
    </row>
    <row r="289" spans="4:15" x14ac:dyDescent="0.2">
      <c r="D289" s="10">
        <f t="shared" ref="D289:D297" si="0">D288+(N_pmax-N_pmin)/1000</f>
        <v>1.0425670870084254</v>
      </c>
      <c r="E289" s="10"/>
      <c r="F289" s="10">
        <v>0.71942354220977323</v>
      </c>
      <c r="G289" s="10">
        <v>2.2204139251611705</v>
      </c>
      <c r="H289" s="10">
        <v>0.68076534747875339</v>
      </c>
      <c r="I289" s="10">
        <v>5.333517132085433E-2</v>
      </c>
      <c r="J289">
        <v>2.0264645424790136E-8</v>
      </c>
      <c r="K289">
        <v>1.8798184111580765E-8</v>
      </c>
      <c r="L289">
        <v>2.8751053476286564E-8</v>
      </c>
      <c r="M289">
        <v>1.8874537178687715E-8</v>
      </c>
      <c r="N289">
        <v>2.557761090219622E-8</v>
      </c>
      <c r="O289">
        <v>5.3585925375397774E-9</v>
      </c>
    </row>
    <row r="290" spans="4:15" x14ac:dyDescent="0.2">
      <c r="D290" s="10">
        <f t="shared" si="0"/>
        <v>1.0638506304626381</v>
      </c>
      <c r="E290" s="10"/>
      <c r="F290" s="10">
        <v>0.79899102696837254</v>
      </c>
      <c r="G290" s="10">
        <v>2.1803881502207449</v>
      </c>
      <c r="H290" s="10">
        <v>0.82454018234306903</v>
      </c>
      <c r="I290" s="10">
        <v>5.357850925444857E-2</v>
      </c>
      <c r="J290">
        <v>2.4739861677586068E-8</v>
      </c>
      <c r="K290">
        <v>3.8278906377905918E-8</v>
      </c>
      <c r="L290">
        <v>3.6807662354261372E-8</v>
      </c>
      <c r="M290">
        <v>3.8466304563914844E-8</v>
      </c>
      <c r="N290">
        <v>4.9222463786510578E-8</v>
      </c>
      <c r="O290">
        <v>1.0203366529304235E-8</v>
      </c>
    </row>
    <row r="291" spans="4:15" x14ac:dyDescent="0.2">
      <c r="D291" s="10">
        <f t="shared" si="0"/>
        <v>1.0851341739168507</v>
      </c>
      <c r="E291" s="10"/>
      <c r="F291" s="10">
        <v>0.8615932124770711</v>
      </c>
      <c r="G291" s="10">
        <v>2.141775229574769</v>
      </c>
      <c r="H291" s="10">
        <v>0.94183025470412585</v>
      </c>
      <c r="I291" s="10">
        <v>5.3820757235838471E-2</v>
      </c>
      <c r="J291">
        <v>2.8987397332260139E-8</v>
      </c>
      <c r="K291">
        <v>6.0608403280868133E-8</v>
      </c>
      <c r="L291">
        <v>4.7205611261647893E-8</v>
      </c>
      <c r="M291">
        <v>6.0949680753147779E-8</v>
      </c>
      <c r="N291">
        <v>7.7788868388052587E-8</v>
      </c>
      <c r="O291">
        <v>1.6027499756633662E-8</v>
      </c>
    </row>
    <row r="292" spans="4:15" x14ac:dyDescent="0.2">
      <c r="D292" s="10">
        <f t="shared" si="0"/>
        <v>1.1064177173710634</v>
      </c>
      <c r="E292" s="10"/>
      <c r="F292" s="10">
        <v>0.91421167354847854</v>
      </c>
      <c r="G292" s="10">
        <v>2.104501793693963</v>
      </c>
      <c r="H292" s="10">
        <v>1.0419263781089729</v>
      </c>
      <c r="I292" s="10">
        <v>5.4061931440117311E-2</v>
      </c>
      <c r="J292">
        <v>3.5298224045996233E-8</v>
      </c>
      <c r="K292">
        <v>8.7897519775557316E-8</v>
      </c>
      <c r="L292">
        <v>5.8873394548549548E-8</v>
      </c>
      <c r="M292">
        <v>8.844075414107319E-8</v>
      </c>
      <c r="N292">
        <v>1.1057204511177577E-7</v>
      </c>
      <c r="O292">
        <v>2.2698959422986751E-8</v>
      </c>
    </row>
    <row r="293" spans="4:15" x14ac:dyDescent="0.2">
      <c r="D293" s="10">
        <f t="shared" si="0"/>
        <v>1.1277012608252761</v>
      </c>
      <c r="E293" s="10"/>
      <c r="F293" s="10">
        <v>0.96017509786639244</v>
      </c>
      <c r="G293" s="10">
        <v>2.0684994613047194</v>
      </c>
      <c r="H293" s="10">
        <v>1.1296671415674804</v>
      </c>
      <c r="I293" s="10">
        <v>5.4302047614111178E-2</v>
      </c>
      <c r="J293">
        <v>4.8911174865287834E-8</v>
      </c>
      <c r="K293">
        <v>1.1936955455996198E-7</v>
      </c>
      <c r="L293">
        <v>7.1415651564199197E-8</v>
      </c>
      <c r="M293">
        <v>1.2017884915995771E-7</v>
      </c>
      <c r="N293">
        <v>1.4712244583712424E-7</v>
      </c>
      <c r="O293">
        <v>3.0136160033870688E-8</v>
      </c>
    </row>
    <row r="294" spans="4:15" x14ac:dyDescent="0.2">
      <c r="D294" s="10">
        <f t="shared" si="0"/>
        <v>1.1489848042794888</v>
      </c>
      <c r="E294" s="10"/>
      <c r="F294" s="10">
        <v>1.0013523954863526</v>
      </c>
      <c r="G294" s="10">
        <v>2.0337044227977983</v>
      </c>
      <c r="H294" s="10">
        <v>1.2079693726916811</v>
      </c>
      <c r="I294" s="10">
        <v>5.4541121092804193E-2</v>
      </c>
      <c r="J294">
        <v>6.1007977288460242E-8</v>
      </c>
      <c r="K294">
        <v>1.6248811814761335E-7</v>
      </c>
      <c r="L294">
        <v>8.9020798085469034E-8</v>
      </c>
      <c r="M294">
        <v>1.637265068013284E-7</v>
      </c>
      <c r="N294">
        <v>1.8713171583921812E-7</v>
      </c>
      <c r="O294">
        <v>3.8284856238405022E-8</v>
      </c>
    </row>
    <row r="295" spans="4:15" x14ac:dyDescent="0.2">
      <c r="D295" s="10">
        <f t="shared" si="0"/>
        <v>1.1702683477337015</v>
      </c>
      <c r="E295" s="10"/>
      <c r="F295" s="10">
        <v>1.0389059681607336</v>
      </c>
      <c r="G295" s="10">
        <v>2.0000570646871245</v>
      </c>
      <c r="H295" s="10">
        <v>1.2787601004906755</v>
      </c>
      <c r="I295" s="10">
        <v>5.4779166814946906E-2</v>
      </c>
      <c r="J295">
        <v>7.4421787666386599E-8</v>
      </c>
      <c r="K295">
        <v>1.7758736905165257E-7</v>
      </c>
      <c r="L295">
        <v>1.00722043576125E-7</v>
      </c>
      <c r="M295">
        <v>1.7894685808443051E-7</v>
      </c>
      <c r="N295">
        <v>2.3037836049789246E-7</v>
      </c>
      <c r="O295">
        <v>4.7107351792835149E-8</v>
      </c>
    </row>
    <row r="296" spans="4:15" x14ac:dyDescent="0.2">
      <c r="D296" s="10">
        <f t="shared" si="0"/>
        <v>1.1915518911879142</v>
      </c>
      <c r="E296" s="10"/>
      <c r="F296" s="10">
        <v>1.0736117603431587</v>
      </c>
      <c r="G296" s="10">
        <v>1.9675016304766195</v>
      </c>
      <c r="H296" s="10">
        <v>1.3433953138145451</v>
      </c>
      <c r="I296" s="10">
        <v>5.5016199337897469E-2</v>
      </c>
      <c r="J296">
        <v>6.4463953108606614E-7</v>
      </c>
      <c r="K296">
        <v>1.9509795558417127E-7</v>
      </c>
      <c r="L296">
        <v>1.1384338126775429E-7</v>
      </c>
      <c r="M296">
        <v>1.9658830059935706E-7</v>
      </c>
      <c r="N296">
        <v>2.766982625412102E-7</v>
      </c>
      <c r="O296">
        <v>5.6576737061621564E-8</v>
      </c>
    </row>
    <row r="297" spans="4:15" x14ac:dyDescent="0.2">
      <c r="D297" s="10">
        <f t="shared" si="0"/>
        <v>1.2128354346421268</v>
      </c>
      <c r="E297" s="10"/>
      <c r="F297" s="10">
        <v>1.1060153724490303</v>
      </c>
      <c r="G297" s="10">
        <v>1.9359859138833417</v>
      </c>
      <c r="H297" s="10">
        <v>1.4028741972923229</v>
      </c>
      <c r="I297" s="10">
        <v>5.5252232851741127E-2</v>
      </c>
      <c r="J297">
        <v>7.8761767740424494E-7</v>
      </c>
      <c r="K297">
        <v>2.1743961752353268E-7</v>
      </c>
      <c r="L297">
        <v>1.315694872885549E-7</v>
      </c>
      <c r="M297">
        <v>2.1782290756683059E-7</v>
      </c>
      <c r="N297">
        <v>3.259672128258595E-7</v>
      </c>
      <c r="O297">
        <v>6.6673520411830209E-8</v>
      </c>
    </row>
    <row r="298" spans="4:15" x14ac:dyDescent="0.2">
      <c r="D298" s="10">
        <f t="shared" ref="D298:D329" si="1">D297+(N_pmax-N_pmin)/100</f>
        <v>1.4256708691842535</v>
      </c>
      <c r="E298" s="10"/>
      <c r="F298" s="10">
        <v>1.3593114846545298</v>
      </c>
      <c r="G298" s="10">
        <v>1.6685784693800636</v>
      </c>
      <c r="H298" s="10">
        <v>1.826328160416407</v>
      </c>
      <c r="I298" s="10">
        <v>5.7560506816456893E-2</v>
      </c>
      <c r="J298">
        <v>2.2582933496242946E-6</v>
      </c>
      <c r="K298">
        <v>7.383804602075083E-7</v>
      </c>
      <c r="L298">
        <v>2.2708166827268179E-6</v>
      </c>
      <c r="M298">
        <v>7.3926863324290077E-7</v>
      </c>
      <c r="N298">
        <v>9.6757946858570265E-7</v>
      </c>
      <c r="O298">
        <v>2.0042552724859689E-7</v>
      </c>
    </row>
    <row r="299" spans="4:15" x14ac:dyDescent="0.2">
      <c r="D299" s="10">
        <f t="shared" si="1"/>
        <v>1.6385063037263801</v>
      </c>
      <c r="E299" s="10"/>
      <c r="F299" s="10">
        <v>1.5519544609164551</v>
      </c>
      <c r="G299" s="10">
        <v>1.4659455560321808</v>
      </c>
      <c r="H299" s="10">
        <v>2.0915584045300823</v>
      </c>
      <c r="I299" s="10">
        <v>5.9782208176798718E-2</v>
      </c>
      <c r="J299">
        <v>2.9142366444659832E-6</v>
      </c>
      <c r="K299">
        <v>1.5259033356619188E-6</v>
      </c>
      <c r="L299">
        <v>2.9262877948176267E-6</v>
      </c>
      <c r="M299">
        <v>1.5274690072712609E-6</v>
      </c>
      <c r="N299">
        <v>1.8689899440027636E-6</v>
      </c>
      <c r="O299">
        <v>3.9391606299578848E-7</v>
      </c>
    </row>
    <row r="300" spans="4:15" x14ac:dyDescent="0.2">
      <c r="D300" s="10">
        <f t="shared" si="1"/>
        <v>1.8513417382685067</v>
      </c>
      <c r="E300" s="10"/>
      <c r="F300" s="10">
        <v>1.7177124856520969</v>
      </c>
      <c r="G300" s="10">
        <v>1.3071189976222815</v>
      </c>
      <c r="H300" s="10">
        <v>2.2846005629469119</v>
      </c>
      <c r="I300" s="10">
        <v>6.1927095178901777E-2</v>
      </c>
      <c r="J300">
        <v>3.7911356050073115E-6</v>
      </c>
      <c r="K300">
        <v>2.7596790925296323E-6</v>
      </c>
      <c r="L300">
        <v>3.8055698943758381E-6</v>
      </c>
      <c r="M300">
        <v>2.7605551119096361E-6</v>
      </c>
      <c r="N300">
        <v>3.0383557774552815E-6</v>
      </c>
      <c r="O300">
        <v>6.5158864078354869E-7</v>
      </c>
    </row>
    <row r="301" spans="4:15" x14ac:dyDescent="0.2">
      <c r="D301" s="10">
        <f t="shared" si="1"/>
        <v>2.0641771728106333</v>
      </c>
      <c r="E301" s="10"/>
      <c r="F301" s="10">
        <v>1.8679819295741455</v>
      </c>
      <c r="G301" s="10">
        <v>1.1792935798279678</v>
      </c>
      <c r="H301" s="10">
        <v>2.4375946237886663</v>
      </c>
      <c r="I301" s="10">
        <v>6.4003126277167893E-2</v>
      </c>
      <c r="J301">
        <v>6.1292229585230439E-6</v>
      </c>
      <c r="K301">
        <v>3.5046103387111095E-6</v>
      </c>
      <c r="L301">
        <v>6.189740491438829E-6</v>
      </c>
      <c r="M301">
        <v>3.5046970967206028E-6</v>
      </c>
      <c r="N301">
        <v>4.4951934310927198E-6</v>
      </c>
      <c r="O301">
        <v>9.7998342872802647E-7</v>
      </c>
    </row>
    <row r="302" spans="4:15" x14ac:dyDescent="0.2">
      <c r="D302" s="10">
        <f t="shared" si="1"/>
        <v>2.2770126073527601</v>
      </c>
      <c r="E302" s="10"/>
      <c r="F302" s="10">
        <v>2.0080465492169632</v>
      </c>
      <c r="G302" s="10">
        <v>1.0742085942348809</v>
      </c>
      <c r="H302" s="10">
        <v>2.5658447942210438</v>
      </c>
      <c r="I302" s="10">
        <v>6.6016908694615267E-2</v>
      </c>
      <c r="J302">
        <v>8.9967233568530302E-6</v>
      </c>
      <c r="K302">
        <v>4.9046144530215657E-6</v>
      </c>
      <c r="L302">
        <v>9.0805005768239285E-6</v>
      </c>
      <c r="M302">
        <v>4.9159810657185231E-6</v>
      </c>
      <c r="N302">
        <v>6.2633766524939435E-6</v>
      </c>
      <c r="O302">
        <v>1.38654076540805E-6</v>
      </c>
    </row>
    <row r="303" spans="4:15" x14ac:dyDescent="0.2">
      <c r="D303" s="10">
        <f t="shared" si="1"/>
        <v>2.489848041894887</v>
      </c>
      <c r="E303" s="10"/>
      <c r="F303" s="10">
        <v>2.1407975034095226</v>
      </c>
      <c r="G303" s="10">
        <v>0.98629693993156453</v>
      </c>
      <c r="H303" s="10">
        <v>2.6776454605024274</v>
      </c>
      <c r="I303" s="10">
        <v>6.797400987250149E-2</v>
      </c>
      <c r="J303">
        <v>1.233609164877394E-5</v>
      </c>
      <c r="K303">
        <v>6.741744082898285E-6</v>
      </c>
      <c r="L303">
        <v>1.2445336987867594E-5</v>
      </c>
      <c r="M303">
        <v>6.758946534605063E-6</v>
      </c>
      <c r="N303">
        <v>8.3690220870723502E-6</v>
      </c>
      <c r="O303">
        <v>1.879243367371388E-6</v>
      </c>
    </row>
    <row r="304" spans="4:15" x14ac:dyDescent="0.2">
      <c r="D304" s="10">
        <f t="shared" si="1"/>
        <v>2.7026834764370138</v>
      </c>
      <c r="E304" s="10"/>
      <c r="F304" s="10">
        <v>2.2679919604819596</v>
      </c>
      <c r="G304" s="10">
        <v>0.9116704509063851</v>
      </c>
      <c r="H304" s="10">
        <v>2.7778904070118124</v>
      </c>
      <c r="I304" s="10">
        <v>6.9879180354076809E-2</v>
      </c>
      <c r="J304">
        <v>1.613561262893877E-5</v>
      </c>
      <c r="K304">
        <v>9.3991166552796059E-6</v>
      </c>
      <c r="L304">
        <v>1.6271654859685054E-5</v>
      </c>
      <c r="M304">
        <v>9.4264381886135586E-6</v>
      </c>
      <c r="N304">
        <v>1.0839628678422078E-5</v>
      </c>
      <c r="O304">
        <v>2.4664677611101484E-6</v>
      </c>
    </row>
    <row r="305" spans="4:15" x14ac:dyDescent="0.2">
      <c r="D305" s="10">
        <f t="shared" si="1"/>
        <v>2.9155189109791406</v>
      </c>
      <c r="E305" s="10"/>
      <c r="F305" s="10">
        <v>2.3907796003245791</v>
      </c>
      <c r="G305" s="10">
        <v>0.84753162461452025</v>
      </c>
      <c r="H305" s="10">
        <v>2.8696518001186879</v>
      </c>
      <c r="I305" s="10">
        <v>7.1736517447977238E-2</v>
      </c>
      <c r="J305">
        <v>2.0389032359386123E-5</v>
      </c>
      <c r="K305">
        <v>1.3064944908041459E-5</v>
      </c>
      <c r="L305">
        <v>2.0552930381027251E-5</v>
      </c>
      <c r="M305">
        <v>1.3104463288953433E-5</v>
      </c>
      <c r="N305">
        <v>1.3703659217482213E-5</v>
      </c>
      <c r="O305">
        <v>3.1569088096671298E-6</v>
      </c>
    </row>
    <row r="306" spans="4:15" x14ac:dyDescent="0.2">
      <c r="D306" s="10">
        <f t="shared" si="1"/>
        <v>3.1283543455212675</v>
      </c>
      <c r="E306" s="10"/>
      <c r="F306" s="10">
        <v>2.5099553283107761</v>
      </c>
      <c r="G306" s="10">
        <v>0.79181642296159327</v>
      </c>
      <c r="H306" s="10">
        <v>2.9549538132796824</v>
      </c>
      <c r="I306" s="10">
        <v>7.354958809693786E-2</v>
      </c>
      <c r="J306">
        <v>2.7896522120382277E-5</v>
      </c>
      <c r="K306">
        <v>1.745912521949417E-5</v>
      </c>
      <c r="L306">
        <v>2.8100851363580337E-5</v>
      </c>
      <c r="M306">
        <v>1.7513963495895657E-5</v>
      </c>
      <c r="N306">
        <v>1.699031022514771E-5</v>
      </c>
      <c r="O306">
        <v>3.9595355356678675E-6</v>
      </c>
    </row>
    <row r="307" spans="4:15" x14ac:dyDescent="0.2">
      <c r="D307" s="10">
        <f t="shared" si="1"/>
        <v>3.3411897800633943</v>
      </c>
      <c r="E307" s="10"/>
      <c r="F307" s="10">
        <v>2.626093014352795</v>
      </c>
      <c r="G307" s="10">
        <v>0.74296878199542904</v>
      </c>
      <c r="H307" s="10">
        <v>3.0351837102258927</v>
      </c>
      <c r="I307" s="10">
        <v>7.5321522908880639E-2</v>
      </c>
      <c r="J307">
        <v>3.4147753108393163E-5</v>
      </c>
      <c r="K307">
        <v>2.2608627466074434E-5</v>
      </c>
      <c r="L307">
        <v>3.43854463610133E-5</v>
      </c>
      <c r="M307">
        <v>2.2682228936844401E-5</v>
      </c>
      <c r="N307">
        <v>2.072937306554706E-5</v>
      </c>
      <c r="O307">
        <v>4.8835623718958603E-6</v>
      </c>
    </row>
    <row r="308" spans="4:15" x14ac:dyDescent="0.2">
      <c r="D308" s="10">
        <f t="shared" si="1"/>
        <v>3.5540252146055211</v>
      </c>
      <c r="E308" s="10"/>
      <c r="F308" s="10">
        <v>2.7396216640525002</v>
      </c>
      <c r="G308" s="10">
        <v>0.69979346459483305</v>
      </c>
      <c r="H308" s="10">
        <v>3.1113242486619437</v>
      </c>
      <c r="I308" s="10">
        <v>7.7055089336849555E-2</v>
      </c>
      <c r="J308">
        <v>4.1029949611978959E-5</v>
      </c>
      <c r="K308">
        <v>2.853577491957245E-5</v>
      </c>
      <c r="L308">
        <v>4.1302009275195946E-5</v>
      </c>
      <c r="M308">
        <v>2.8631892214866364E-5</v>
      </c>
      <c r="N308">
        <v>2.4951143645684857E-5</v>
      </c>
      <c r="O308">
        <v>5.938428860690878E-6</v>
      </c>
    </row>
    <row r="309" spans="4:15" x14ac:dyDescent="0.2">
      <c r="D309" s="10">
        <f t="shared" si="1"/>
        <v>3.766860649147648</v>
      </c>
      <c r="E309" s="10"/>
      <c r="F309" s="10">
        <v>2.8508713737224554</v>
      </c>
      <c r="G309" s="10">
        <v>0.66135724603867241</v>
      </c>
      <c r="H309" s="10">
        <v>3.1840917267982038</v>
      </c>
      <c r="I309" s="10">
        <v>7.8752749479510276E-2</v>
      </c>
      <c r="J309">
        <v>4.8544273969271533E-5</v>
      </c>
      <c r="K309">
        <v>3.5654040573245164E-5</v>
      </c>
      <c r="L309">
        <v>4.8851578846515178E-5</v>
      </c>
      <c r="M309">
        <v>3.5777512616206827E-5</v>
      </c>
      <c r="N309">
        <v>2.9686359975061549E-5</v>
      </c>
      <c r="O309">
        <v>7.1337843792600853E-6</v>
      </c>
    </row>
    <row r="310" spans="4:15" x14ac:dyDescent="0.2">
      <c r="D310" s="10">
        <f t="shared" si="1"/>
        <v>3.9796960836897748</v>
      </c>
      <c r="E310" s="10"/>
      <c r="F310" s="10">
        <v>2.9601023770646941</v>
      </c>
      <c r="G310" s="10">
        <v>0.62692087642087091</v>
      </c>
      <c r="H310" s="10">
        <v>3.2540213889072667</v>
      </c>
      <c r="I310" s="10">
        <v>8.0416706336398372E-2</v>
      </c>
      <c r="J310">
        <v>5.6692727932485921E-5</v>
      </c>
      <c r="K310">
        <v>4.2317438394921847E-5</v>
      </c>
      <c r="L310">
        <v>5.7036059614634993E-5</v>
      </c>
      <c r="M310">
        <v>4.2473286411583291E-5</v>
      </c>
      <c r="N310">
        <v>3.4966156691987941E-5</v>
      </c>
      <c r="O310">
        <v>8.4794760634200063E-6</v>
      </c>
    </row>
    <row r="311" spans="4:15" x14ac:dyDescent="0.2">
      <c r="D311" s="10">
        <f t="shared" si="1"/>
        <v>4.1925315182319016</v>
      </c>
      <c r="E311" s="10"/>
      <c r="F311" s="10">
        <v>3.0675241265171453</v>
      </c>
      <c r="G311" s="10">
        <v>0.59589119098842369</v>
      </c>
      <c r="H311" s="10">
        <v>3.3215221090725975</v>
      </c>
      <c r="I311" s="10">
        <v>8.2048941259092803E-2</v>
      </c>
      <c r="J311">
        <v>6.5477982696394578E-5</v>
      </c>
      <c r="K311">
        <v>4.6953384651077838E-5</v>
      </c>
      <c r="L311">
        <v>6.585804564631643E-5</v>
      </c>
      <c r="M311">
        <v>4.7124655814654581E-5</v>
      </c>
      <c r="N311">
        <v>4.082203046104695E-5</v>
      </c>
      <c r="O311">
        <v>9.9855388850765191E-6</v>
      </c>
    </row>
    <row r="312" spans="4:15" x14ac:dyDescent="0.2">
      <c r="D312" s="10">
        <f t="shared" si="1"/>
        <v>4.4053669527740285</v>
      </c>
      <c r="E312" s="10"/>
      <c r="F312" s="10">
        <v>3.1733082431755895</v>
      </c>
      <c r="G312" s="10">
        <v>0.5677867366293553</v>
      </c>
      <c r="H312" s="10">
        <v>3.3869124530734287</v>
      </c>
      <c r="I312" s="10">
        <v>8.3651244593600363E-2</v>
      </c>
      <c r="J312">
        <v>7.4903260556928055E-5</v>
      </c>
      <c r="K312">
        <v>5.8673199879728151E-5</v>
      </c>
      <c r="L312">
        <v>7.5320697616824527E-5</v>
      </c>
      <c r="M312">
        <v>5.887865245142145E-5</v>
      </c>
      <c r="N312">
        <v>4.7285812649399093E-5</v>
      </c>
      <c r="O312">
        <v>1.1662187251397842E-5</v>
      </c>
    </row>
    <row r="313" spans="4:15" x14ac:dyDescent="0.2">
      <c r="D313" s="10">
        <f t="shared" si="1"/>
        <v>4.6182023873161553</v>
      </c>
      <c r="E313" s="10"/>
      <c r="F313" s="10">
        <v>3.2775975546217837</v>
      </c>
      <c r="G313" s="10">
        <v>0.54221266496370746</v>
      </c>
      <c r="H313" s="10">
        <v>3.4504450804354381</v>
      </c>
      <c r="I313" s="10">
        <v>8.5225240989978468E-2</v>
      </c>
      <c r="J313">
        <v>8.4972256616025723E-5</v>
      </c>
      <c r="K313">
        <v>6.7127386360059407E-5</v>
      </c>
      <c r="L313">
        <v>8.5427661165195665E-5</v>
      </c>
      <c r="M313">
        <v>6.7359040290702269E-5</v>
      </c>
      <c r="N313">
        <v>5.4389647069631171E-5</v>
      </c>
      <c r="O313">
        <v>1.3519807724383809E-5</v>
      </c>
    </row>
    <row r="314" spans="4:15" x14ac:dyDescent="0.2">
      <c r="D314" s="10">
        <f t="shared" si="1"/>
        <v>4.8310378218582821</v>
      </c>
      <c r="E314" s="10"/>
      <c r="F314" s="10">
        <v>3.3805125576606585</v>
      </c>
      <c r="G314" s="10">
        <v>0.51884210352583326</v>
      </c>
      <c r="H314" s="10">
        <v>3.5123236368820039</v>
      </c>
      <c r="I314" s="10">
        <v>8.6772410487171173E-2</v>
      </c>
      <c r="J314">
        <v>9.6991935895223658E-5</v>
      </c>
      <c r="K314">
        <v>7.6703951727567958E-5</v>
      </c>
      <c r="L314">
        <v>9.748973710081314E-5</v>
      </c>
      <c r="M314">
        <v>7.6964746816096747E-5</v>
      </c>
      <c r="N314">
        <v>6.2165971373556947E-5</v>
      </c>
      <c r="O314">
        <v>1.5568952595149606E-5</v>
      </c>
    </row>
    <row r="315" spans="4:15" x14ac:dyDescent="0.2">
      <c r="D315" s="10">
        <f t="shared" si="1"/>
        <v>5.043873256400409</v>
      </c>
      <c r="E315" s="10"/>
      <c r="F315" s="10">
        <v>3.4821561394951028</v>
      </c>
      <c r="G315" s="10">
        <v>0.49740213582007969</v>
      </c>
      <c r="H315" s="10">
        <v>3.57271468849151</v>
      </c>
      <c r="I315" s="10">
        <v>8.8294106215854415E-2</v>
      </c>
      <c r="J315">
        <v>1.1021353296924801E-4</v>
      </c>
      <c r="K315">
        <v>8.7451898536267092E-5</v>
      </c>
      <c r="L315">
        <v>1.1075565674417104E-4</v>
      </c>
      <c r="M315">
        <v>8.7744909369710439E-5</v>
      </c>
      <c r="N315">
        <v>7.0647501160031988E-5</v>
      </c>
      <c r="O315">
        <v>1.7820334130411804E-5</v>
      </c>
    </row>
    <row r="316" spans="4:15" x14ac:dyDescent="0.2">
      <c r="D316" s="10">
        <f t="shared" si="1"/>
        <v>5.2567086909425358</v>
      </c>
      <c r="E316" s="10"/>
      <c r="F316" s="10">
        <v>3.5826170926931469</v>
      </c>
      <c r="G316" s="10">
        <v>0.47766311292072378</v>
      </c>
      <c r="H316" s="10">
        <v>3.6317563088990101</v>
      </c>
      <c r="I316" s="10">
        <v>8.9791569368166374E-2</v>
      </c>
      <c r="J316">
        <v>1.244148965147945E-4</v>
      </c>
      <c r="K316">
        <v>9.9420682299452756E-5</v>
      </c>
      <c r="L316">
        <v>1.2500238263950028E-4</v>
      </c>
      <c r="M316">
        <v>9.9749127720937745E-5</v>
      </c>
      <c r="N316">
        <v>7.9867216157392129E-5</v>
      </c>
      <c r="O316">
        <v>2.0284819361601819E-5</v>
      </c>
    </row>
    <row r="317" spans="4:15" x14ac:dyDescent="0.2">
      <c r="D317" s="10">
        <f t="shared" si="1"/>
        <v>5.4695441254846626</v>
      </c>
      <c r="E317" s="10"/>
      <c r="F317" s="10">
        <v>3.6819727769082746</v>
      </c>
      <c r="G317" s="10">
        <v>0.45943040838484889</v>
      </c>
      <c r="H317" s="10">
        <v>3.6895643619339529</v>
      </c>
      <c r="I317" s="10">
        <v>9.1265941939444983E-2</v>
      </c>
      <c r="J317">
        <v>1.3960614408876169E-4</v>
      </c>
      <c r="K317">
        <v>1.1265909003685684E-4</v>
      </c>
      <c r="L317">
        <v>1.4023996571886177E-4</v>
      </c>
      <c r="M317">
        <v>1.1302634086549948E-4</v>
      </c>
      <c r="N317">
        <v>8.9858348031980953E-5</v>
      </c>
      <c r="O317">
        <v>2.2973425321871074E-5</v>
      </c>
    </row>
    <row r="318" spans="4:15" x14ac:dyDescent="0.2">
      <c r="D318" s="10">
        <f t="shared" si="1"/>
        <v>5.6823795600267895</v>
      </c>
      <c r="E318" s="10"/>
      <c r="F318" s="10">
        <v>3.7802911655237672</v>
      </c>
      <c r="G318" s="10">
        <v>0.442537988913075</v>
      </c>
      <c r="H318" s="10">
        <v>3.7462371686800839</v>
      </c>
      <c r="I318" s="10">
        <v>9.2718277639194768E-2</v>
      </c>
      <c r="J318">
        <v>1.5579733824399569E-4</v>
      </c>
      <c r="K318">
        <v>1.2721450573893828E-4</v>
      </c>
      <c r="L318">
        <v>1.5647841125888631E-4</v>
      </c>
      <c r="M318">
        <v>1.2762409128050999E-4</v>
      </c>
      <c r="N318">
        <v>1.006543694999777E-4</v>
      </c>
      <c r="O318">
        <v>2.5897314659850167E-5</v>
      </c>
    </row>
    <row r="319" spans="4:15" x14ac:dyDescent="0.2">
      <c r="D319" s="10">
        <f t="shared" si="1"/>
        <v>5.8952149945689163</v>
      </c>
      <c r="E319" s="10"/>
      <c r="F319" s="10">
        <v>3.8776324413028918</v>
      </c>
      <c r="G319" s="10">
        <v>0.42684335085805425</v>
      </c>
      <c r="H319" s="10">
        <v>3.8018590232775269</v>
      </c>
      <c r="I319" s="10">
        <v>9.4149551286578301E-2</v>
      </c>
      <c r="J319">
        <v>1.7299851051530958E-4</v>
      </c>
      <c r="K319">
        <v>1.4313244010723451E-4</v>
      </c>
      <c r="L319">
        <v>1.7372770154447674E-4</v>
      </c>
      <c r="M319">
        <v>1.4358805304567055E-4</v>
      </c>
      <c r="N319">
        <v>1.1228898450473905E-4</v>
      </c>
      <c r="O319">
        <v>2.9067791575470615E-5</v>
      </c>
    </row>
    <row r="320" spans="4:15" x14ac:dyDescent="0.2">
      <c r="D320" s="10">
        <f t="shared" si="1"/>
        <v>6.1080504291110431</v>
      </c>
      <c r="E320" s="10"/>
      <c r="F320" s="10">
        <v>3.9740502562164406</v>
      </c>
      <c r="G320" s="10">
        <v>0.41222349570325606</v>
      </c>
      <c r="H320" s="10">
        <v>3.8565028759483262</v>
      </c>
      <c r="I320" s="10">
        <v>9.5560666942865913E-2</v>
      </c>
      <c r="J320">
        <v>1.91219695776541E-4</v>
      </c>
      <c r="K320">
        <v>1.6045624724847374E-4</v>
      </c>
      <c r="L320">
        <v>1.9199782914309236E-4</v>
      </c>
      <c r="M320">
        <v>1.6096174754366357E-4</v>
      </c>
      <c r="N320">
        <v>1.2479611928064533E-4</v>
      </c>
      <c r="O320">
        <v>3.2496298034874654E-5</v>
      </c>
    </row>
    <row r="321" spans="4:15" x14ac:dyDescent="0.2">
      <c r="D321" s="10">
        <f t="shared" si="1"/>
        <v>6.32088586365317</v>
      </c>
      <c r="E321" s="10"/>
      <c r="F321" s="10">
        <v>4.0695927376681276</v>
      </c>
      <c r="G321" s="10">
        <v>0.3985717040685835</v>
      </c>
      <c r="H321" s="10">
        <v>3.9102324052452571</v>
      </c>
      <c r="I321" s="10">
        <v>9.6952464984564959E-2</v>
      </c>
      <c r="J321">
        <v>2.0150243389988355E-4</v>
      </c>
      <c r="K321">
        <v>1.7922696615042686E-4</v>
      </c>
      <c r="L321">
        <v>2.0229701614951089E-4</v>
      </c>
      <c r="M321">
        <v>1.7978638421738577E-4</v>
      </c>
      <c r="N321">
        <v>1.3820991416597835E-4</v>
      </c>
      <c r="O321">
        <v>3.619441023000246E-5</v>
      </c>
    </row>
    <row r="322" spans="4:15" x14ac:dyDescent="0.2">
      <c r="D322" s="10">
        <f t="shared" si="1"/>
        <v>6.5337212981952968</v>
      </c>
      <c r="E322" s="10"/>
      <c r="F322" s="10">
        <v>4.1643033007270569</v>
      </c>
      <c r="G322" s="10">
        <v>0.38579492934758347</v>
      </c>
      <c r="H322" s="10">
        <v>3.9631036365805921</v>
      </c>
      <c r="I322" s="10">
        <v>9.8325728282859626E-2</v>
      </c>
      <c r="J322">
        <v>2.0943177966555181E-4</v>
      </c>
      <c r="K322">
        <v>2.0530129448236679E-4</v>
      </c>
      <c r="L322">
        <v>2.1022720398638652E-4</v>
      </c>
      <c r="M322">
        <v>2.0535040165456391E-4</v>
      </c>
      <c r="N322">
        <v>1.5256471605725266E-4</v>
      </c>
      <c r="O322">
        <v>4.0173835254825994E-5</v>
      </c>
    </row>
    <row r="323" spans="4:15" x14ac:dyDescent="0.2">
      <c r="D323" s="10">
        <f t="shared" si="1"/>
        <v>6.7465567327374236</v>
      </c>
      <c r="E323" s="10"/>
      <c r="F323" s="10">
        <v>4.2582213101981523</v>
      </c>
      <c r="G323" s="10">
        <v>0.37381167645689678</v>
      </c>
      <c r="H323" s="10">
        <v>4.0151662196774067</v>
      </c>
      <c r="I323" s="10">
        <v>9.9681187624957091E-2</v>
      </c>
      <c r="J323">
        <v>2.1759298017943473E-4</v>
      </c>
      <c r="K323">
        <v>2.3396071907602964E-4</v>
      </c>
      <c r="L323">
        <v>2.1838968985048781E-4</v>
      </c>
      <c r="M323">
        <v>2.340138819214913E-4</v>
      </c>
      <c r="N323">
        <v>1.6789507141945091E-4</v>
      </c>
      <c r="O323">
        <v>4.4446407975040809E-5</v>
      </c>
    </row>
    <row r="324" spans="4:15" x14ac:dyDescent="0.2">
      <c r="D324" s="10">
        <f t="shared" si="1"/>
        <v>6.9593921672795505</v>
      </c>
      <c r="E324" s="10"/>
      <c r="F324" s="10">
        <v>4.3513826251808867</v>
      </c>
      <c r="G324" s="10">
        <v>0.36255026354495801</v>
      </c>
      <c r="H324" s="10">
        <v>4.0664644467631801</v>
      </c>
      <c r="I324" s="10">
        <v>0.10101952648906118</v>
      </c>
      <c r="J324">
        <v>2.2598350885008809E-4</v>
      </c>
      <c r="K324">
        <v>2.6515256344971012E-4</v>
      </c>
      <c r="L324">
        <v>2.2678190085060582E-4</v>
      </c>
      <c r="M324">
        <v>2.6520993097891205E-4</v>
      </c>
      <c r="N324">
        <v>1.8423571978296081E-4</v>
      </c>
      <c r="O324">
        <v>4.9024088071768171E-5</v>
      </c>
    </row>
    <row r="325" spans="4:15" x14ac:dyDescent="0.2">
      <c r="D325" s="10">
        <f t="shared" si="1"/>
        <v>7.1722276018216773</v>
      </c>
      <c r="E325" s="10"/>
      <c r="F325" s="10">
        <v>4.44382005073171</v>
      </c>
      <c r="G325" s="10">
        <v>0.35194738836925799</v>
      </c>
      <c r="H325" s="10">
        <v>4.1170380716428632</v>
      </c>
      <c r="I325" s="10">
        <v>0.10234138526558202</v>
      </c>
      <c r="J325">
        <v>2.3460143566237412E-4</v>
      </c>
      <c r="K325">
        <v>3.0044662851224122E-4</v>
      </c>
      <c r="L325">
        <v>2.3540186744940432E-4</v>
      </c>
      <c r="M325">
        <v>3.0050896385971551E-4</v>
      </c>
      <c r="N325">
        <v>2.0162158767053531E-4</v>
      </c>
      <c r="O325">
        <v>5.3918957242774299E-5</v>
      </c>
    </row>
    <row r="326" spans="4:15" x14ac:dyDescent="0.2">
      <c r="D326" s="10">
        <f t="shared" si="1"/>
        <v>7.3850630363638041</v>
      </c>
      <c r="E326" s="10"/>
      <c r="F326" s="10">
        <v>4.535563715395309</v>
      </c>
      <c r="G326" s="10">
        <v>0.34194693882167154</v>
      </c>
      <c r="H326" s="10">
        <v>4.1669229743421479</v>
      </c>
      <c r="I326" s="10">
        <v>0.10364736500177919</v>
      </c>
      <c r="J326">
        <v>2.4344532625639415E-4</v>
      </c>
      <c r="K326">
        <v>3.3768576985549424E-4</v>
      </c>
      <c r="L326">
        <v>2.4424812142266188E-4</v>
      </c>
      <c r="M326">
        <v>3.3775292861303974E-4</v>
      </c>
      <c r="N326">
        <v>2.200877829071681E-4</v>
      </c>
      <c r="O326">
        <v>5.9143216547049795E-5</v>
      </c>
    </row>
    <row r="327" spans="4:15" x14ac:dyDescent="0.2">
      <c r="D327" s="10">
        <f t="shared" si="1"/>
        <v>7.597898470905931</v>
      </c>
      <c r="E327" s="10"/>
      <c r="F327" s="10">
        <v>4.6266413890586833</v>
      </c>
      <c r="G327" s="10">
        <v>0.33249900043969893</v>
      </c>
      <c r="H327" s="10">
        <v>4.2161517048778006</v>
      </c>
      <c r="I327" s="10">
        <v>0.10493803073453278</v>
      </c>
      <c r="J327">
        <v>2.5251416310686402E-4</v>
      </c>
      <c r="K327">
        <v>3.7087006805846563E-4</v>
      </c>
      <c r="L327">
        <v>2.5331961613057078E-4</v>
      </c>
      <c r="M327">
        <v>3.709417071890615E-4</v>
      </c>
      <c r="N327">
        <v>2.39669589273338E-4</v>
      </c>
      <c r="O327">
        <v>6.470918388050401E-5</v>
      </c>
    </row>
    <row r="328" spans="4:15" x14ac:dyDescent="0.2">
      <c r="D328" s="10">
        <f t="shared" si="1"/>
        <v>7.8107339054480578</v>
      </c>
      <c r="E328" s="10"/>
      <c r="F328" s="10">
        <v>4.7170787523691358</v>
      </c>
      <c r="G328" s="10">
        <v>0.32355902387223395</v>
      </c>
      <c r="H328" s="10">
        <v>4.2647539315978236</v>
      </c>
      <c r="I328" s="10">
        <v>0.10621391446572945</v>
      </c>
      <c r="J328">
        <v>2.6180728188418458E-4</v>
      </c>
      <c r="K328">
        <v>3.992028350593978E-4</v>
      </c>
      <c r="L328">
        <v>2.6261566213610886E-4</v>
      </c>
      <c r="M328">
        <v>3.9927859797680477E-4</v>
      </c>
      <c r="N328">
        <v>2.6040246146796894E-4</v>
      </c>
      <c r="O328">
        <v>7.0629291572058372E-5</v>
      </c>
    </row>
    <row r="329" spans="4:15" x14ac:dyDescent="0.2">
      <c r="D329" s="10">
        <f t="shared" si="1"/>
        <v>8.0235693399901837</v>
      </c>
      <c r="E329" s="10"/>
      <c r="F329" s="10">
        <v>4.8068996265376835</v>
      </c>
      <c r="G329" s="10">
        <v>0.31508712301535113</v>
      </c>
      <c r="H329" s="10">
        <v>4.3127568135593606</v>
      </c>
      <c r="I329" s="10">
        <v>0.10747551782636942</v>
      </c>
      <c r="J329">
        <v>2.7132432307696745E-4</v>
      </c>
      <c r="K329">
        <v>4.3553846769955895E-4</v>
      </c>
      <c r="L329">
        <v>2.7213587822231877E-4</v>
      </c>
      <c r="M329">
        <v>4.3678241292898845E-4</v>
      </c>
      <c r="N329">
        <v>2.8232202035237712E-4</v>
      </c>
      <c r="O329">
        <v>7.6916084090751716E-5</v>
      </c>
    </row>
    <row r="330" spans="4:15" x14ac:dyDescent="0.2">
      <c r="D330" s="10">
        <f t="shared" ref="D330:D361" si="2">D329+(N_pmax-N_pmin)/100</f>
        <v>8.2364047745323106</v>
      </c>
      <c r="E330" s="10"/>
      <c r="F330" s="10">
        <v>4.896126170509346</v>
      </c>
      <c r="G330" s="10">
        <v>0.30704748050397374</v>
      </c>
      <c r="H330" s="10">
        <v>4.3601853119699525</v>
      </c>
      <c r="I330" s="10">
        <v>0.10872331446858406</v>
      </c>
      <c r="J330">
        <v>2.8106519194730901E-4</v>
      </c>
      <c r="K330">
        <v>4.8230525119494623E-4</v>
      </c>
      <c r="L330">
        <v>2.8188015084589684E-4</v>
      </c>
      <c r="M330">
        <v>4.8367044179855294E-4</v>
      </c>
      <c r="N330">
        <v>3.0546404845018524E-4</v>
      </c>
      <c r="O330">
        <v>8.3582215855500575E-5</v>
      </c>
    </row>
    <row r="331" spans="4:15" x14ac:dyDescent="0.2">
      <c r="D331" s="10">
        <f t="shared" si="2"/>
        <v>8.4492402090744374</v>
      </c>
      <c r="E331" s="10"/>
      <c r="F331" s="10">
        <v>4.9847790510694718</v>
      </c>
      <c r="G331" s="10">
        <v>0.29940784188047176</v>
      </c>
      <c r="H331" s="10">
        <v>4.4070624523843298</v>
      </c>
      <c r="I331" s="10">
        <v>0.10995775221901161</v>
      </c>
      <c r="J331">
        <v>2.9103002889264317E-4</v>
      </c>
      <c r="K331">
        <v>5.3273493352371242E-4</v>
      </c>
      <c r="L331">
        <v>2.918486040877735E-4</v>
      </c>
      <c r="M331">
        <v>5.3423040464884721E-4</v>
      </c>
      <c r="N331">
        <v>3.2986448568153186E-4</v>
      </c>
      <c r="O331">
        <v>9.064044914011197E-5</v>
      </c>
    </row>
    <row r="332" spans="4:15" x14ac:dyDescent="0.2">
      <c r="D332" s="10">
        <f t="shared" si="2"/>
        <v>8.6620756436165642</v>
      </c>
      <c r="E332" s="10"/>
      <c r="F332" s="10">
        <v>5.0728775903620189</v>
      </c>
      <c r="G332" s="10">
        <v>0.29213908338495148</v>
      </c>
      <c r="H332" s="10">
        <v>4.4534095468259114</v>
      </c>
      <c r="I332" s="10">
        <v>0.11117925502219643</v>
      </c>
      <c r="J332">
        <v>3.0121918506770127E-4</v>
      </c>
      <c r="K332">
        <v>5.8693300825641171E-4</v>
      </c>
      <c r="L332">
        <v>3.0204157493058097E-4</v>
      </c>
      <c r="M332">
        <v>5.8856813481953101E-4</v>
      </c>
      <c r="N332">
        <v>3.555594253125427E-4</v>
      </c>
      <c r="O332">
        <v>9.8103652066880464E-5</v>
      </c>
    </row>
    <row r="333" spans="4:15" x14ac:dyDescent="0.2">
      <c r="D333" s="10">
        <f t="shared" si="2"/>
        <v>8.8749110781586911</v>
      </c>
      <c r="E333" s="10"/>
      <c r="F333" s="10">
        <v>5.1604398944423906</v>
      </c>
      <c r="G333" s="10">
        <v>0.28521484116365547</v>
      </c>
      <c r="H333" s="10">
        <v>4.4992463830769012</v>
      </c>
      <c r="I333" s="10">
        <v>0.11238822469866737</v>
      </c>
      <c r="J333">
        <v>3.1163320369643127E-4</v>
      </c>
      <c r="K333">
        <v>6.4500130543587459E-4</v>
      </c>
      <c r="L333">
        <v>3.1245959428467411E-4</v>
      </c>
      <c r="M333">
        <v>6.4678580451235093E-4</v>
      </c>
      <c r="N333">
        <v>3.8258511010308475E-4</v>
      </c>
      <c r="O333">
        <v>1.0598479668281787E-4</v>
      </c>
    </row>
    <row r="334" spans="4:15" x14ac:dyDescent="0.2">
      <c r="D334" s="10">
        <f t="shared" si="2"/>
        <v>9.0877465127008179</v>
      </c>
      <c r="E334" s="10"/>
      <c r="F334" s="10">
        <v>5.2474829658163875</v>
      </c>
      <c r="G334" s="10">
        <v>0.27861119194999312</v>
      </c>
      <c r="H334" s="10">
        <v>4.5445913869000378</v>
      </c>
      <c r="I334" s="10">
        <v>0.11358504253898115</v>
      </c>
      <c r="J334">
        <v>3.2227280577636834E-4</v>
      </c>
      <c r="K334">
        <v>7.0703788356604269E-4</v>
      </c>
      <c r="L334">
        <v>3.2310337245202E-4</v>
      </c>
      <c r="M334">
        <v>7.0898181675298026E-4</v>
      </c>
      <c r="N334">
        <v>4.1097792863799878E-4</v>
      </c>
      <c r="O334">
        <v>1.142969571130729E-4</v>
      </c>
    </row>
    <row r="335" spans="4:15" x14ac:dyDescent="0.2">
      <c r="D335" s="10">
        <f t="shared" si="2"/>
        <v>9.3005819472429447</v>
      </c>
      <c r="E335" s="10"/>
      <c r="F335" s="10">
        <v>5.3340228023852623</v>
      </c>
      <c r="G335" s="10">
        <v>0.27230637707146177</v>
      </c>
      <c r="H335" s="10">
        <v>4.5894617618078852</v>
      </c>
      <c r="I335" s="10">
        <v>0.11477007075216955</v>
      </c>
      <c r="J335">
        <v>3.3313887902520437E-4</v>
      </c>
      <c r="K335">
        <v>7.7313697162623802E-4</v>
      </c>
      <c r="L335">
        <v>3.3397378787133598E-4</v>
      </c>
      <c r="M335">
        <v>7.7525074603851493E-4</v>
      </c>
      <c r="N335">
        <v>4.4077441182831999E-4</v>
      </c>
      <c r="O335">
        <v>1.2305330778668194E-4</v>
      </c>
    </row>
    <row r="336" spans="4:15" x14ac:dyDescent="0.2">
      <c r="D336" s="10">
        <f t="shared" si="2"/>
        <v>9.5134173817850716</v>
      </c>
      <c r="E336" s="10"/>
      <c r="F336" s="10">
        <v>5.4200744847927922</v>
      </c>
      <c r="G336" s="10">
        <v>0.2662805630765821</v>
      </c>
      <c r="H336" s="10">
        <v>4.6338736101003013</v>
      </c>
      <c r="I336" s="10">
        <v>0.11594365378461421</v>
      </c>
      <c r="J336">
        <v>3.442324713263655E-4</v>
      </c>
      <c r="K336">
        <v>8.4338896127988028E-4</v>
      </c>
      <c r="L336">
        <v>3.4507188039552055E-4</v>
      </c>
      <c r="M336">
        <v>8.4568333047425025E-4</v>
      </c>
      <c r="N336">
        <v>4.7201122957053E-4</v>
      </c>
      <c r="O336">
        <v>1.3226712173015508E-4</v>
      </c>
    </row>
    <row r="337" spans="4:15" x14ac:dyDescent="0.2">
      <c r="D337" s="10">
        <f t="shared" si="2"/>
        <v>9.7262528163271984</v>
      </c>
      <c r="E337" s="10"/>
      <c r="F337" s="10">
        <v>5.5056522538299753</v>
      </c>
      <c r="G337" s="10">
        <v>0.26051563343638318</v>
      </c>
      <c r="H337" s="10">
        <v>4.6778420381875501</v>
      </c>
      <c r="I337" s="10">
        <v>0.11710611952331927</v>
      </c>
      <c r="J337">
        <v>3.5555478386162432E-4</v>
      </c>
      <c r="K337">
        <v>9.1788041804090272E-4</v>
      </c>
      <c r="L337">
        <v>3.5639884427829247E-4</v>
      </c>
      <c r="M337">
        <v>9.2036648185836489E-4</v>
      </c>
      <c r="N337">
        <v>5.0472518755300918E-4</v>
      </c>
      <c r="O337">
        <v>1.4195176892484136E-4</v>
      </c>
    </row>
    <row r="338" spans="4:15" x14ac:dyDescent="0.2">
      <c r="D338" s="10">
        <f t="shared" si="2"/>
        <v>9.9390882508693252</v>
      </c>
      <c r="E338" s="10"/>
      <c r="F338" s="10">
        <v>5.5907695792778966</v>
      </c>
      <c r="G338" s="10">
        <v>0.25499500671428521</v>
      </c>
      <c r="H338" s="10">
        <v>4.7213812486605837</v>
      </c>
      <c r="I338" s="10">
        <v>0.11825778039579579</v>
      </c>
      <c r="J338">
        <v>3.6710716902530827E-4</v>
      </c>
      <c r="K338">
        <v>9.9669413189119459E-4</v>
      </c>
      <c r="L338">
        <v>3.6795602596830678E-4</v>
      </c>
      <c r="M338">
        <v>9.9938333672386424E-4</v>
      </c>
      <c r="N338">
        <v>5.3895322419993986E-4</v>
      </c>
      <c r="O338">
        <v>1.5212071472433061E-4</v>
      </c>
    </row>
    <row r="339" spans="4:15" x14ac:dyDescent="0.2">
      <c r="D339" s="10">
        <f t="shared" si="2"/>
        <v>10.151923685411452</v>
      </c>
      <c r="E339" s="10"/>
      <c r="F339" s="10">
        <v>5.6754392213459282</v>
      </c>
      <c r="G339" s="10">
        <v>0.24970347736227311</v>
      </c>
      <c r="H339" s="10">
        <v>4.7645046211277364</v>
      </c>
      <c r="I339" s="10">
        <v>0.11939893437726888</v>
      </c>
      <c r="J339">
        <v>3.7889112888374104E-4</v>
      </c>
      <c r="K339">
        <v>9.5951220643075046E-4</v>
      </c>
      <c r="L339">
        <v>3.7974492246525674E-4</v>
      </c>
      <c r="M339">
        <v>9.6159274258980653E-4</v>
      </c>
      <c r="N339">
        <v>5.7473240774377754E-4</v>
      </c>
      <c r="O339">
        <v>1.6278751832848101E-4</v>
      </c>
    </row>
    <row r="340" spans="4:15" x14ac:dyDescent="0.2">
      <c r="D340" s="10">
        <f t="shared" si="2"/>
        <v>10.364759119953579</v>
      </c>
      <c r="E340" s="10"/>
      <c r="F340" s="10">
        <v>5.7596732856798836</v>
      </c>
      <c r="G340" s="10">
        <v>0.24462707592563185</v>
      </c>
      <c r="H340" s="10">
        <v>4.8072247834832611</v>
      </c>
      <c r="I340" s="10">
        <v>0.12052986591462367</v>
      </c>
      <c r="J340">
        <v>3.9090831599078636E-4</v>
      </c>
      <c r="K340">
        <v>1.0435583383991097E-3</v>
      </c>
      <c r="L340">
        <v>3.9176718204993779E-4</v>
      </c>
      <c r="M340">
        <v>1.0458309489576878E-3</v>
      </c>
      <c r="N340">
        <v>6.1209993341812216E-4</v>
      </c>
      <c r="O340">
        <v>1.7396583131088278E-4</v>
      </c>
    </row>
    <row r="341" spans="4:15" x14ac:dyDescent="0.2">
      <c r="D341" s="10">
        <f t="shared" si="2"/>
        <v>10.577594554495706</v>
      </c>
      <c r="E341" s="10"/>
      <c r="F341" s="10">
        <v>5.8434832727647521</v>
      </c>
      <c r="G341" s="10">
        <v>0.2397529459510257</v>
      </c>
      <c r="H341" s="10">
        <v>4.8495536749883232</v>
      </c>
      <c r="I341" s="10">
        <v>0.12165084677539198</v>
      </c>
      <c r="J341">
        <v>5.2710751318539584E-4</v>
      </c>
      <c r="K341">
        <v>1.1321790585733357E-3</v>
      </c>
      <c r="L341">
        <v>5.2778475018266176E-4</v>
      </c>
      <c r="M341">
        <v>1.1346558612407897E-3</v>
      </c>
      <c r="N341">
        <v>6.5109312076371245E-4</v>
      </c>
      <c r="O341">
        <v>1.8566939619689686E-4</v>
      </c>
    </row>
    <row r="342" spans="4:15" x14ac:dyDescent="0.2">
      <c r="D342" s="10">
        <f t="shared" si="2"/>
        <v>10.790429989037833</v>
      </c>
      <c r="E342" s="10"/>
      <c r="F342" s="10">
        <v>5.926880122422844</v>
      </c>
      <c r="G342" s="10">
        <v>0.23506923531517737</v>
      </c>
      <c r="H342" s="10">
        <v>4.8915026023147119</v>
      </c>
      <c r="I342" s="10">
        <v>0.12276213682911559</v>
      </c>
      <c r="J342">
        <v>5.8122693562820697E-4</v>
      </c>
      <c r="K342">
        <v>1.2254453320713812E-3</v>
      </c>
      <c r="L342">
        <v>5.8192145089132092E-4</v>
      </c>
      <c r="M342">
        <v>1.228138815730652E-3</v>
      </c>
      <c r="N342">
        <v>6.9174941104070415E-4</v>
      </c>
      <c r="O342">
        <v>1.9791204508952403E-4</v>
      </c>
    </row>
    <row r="343" spans="4:15" x14ac:dyDescent="0.2">
      <c r="D343" s="10">
        <f t="shared" si="2"/>
        <v>11.003265423579959</v>
      </c>
      <c r="E343" s="10"/>
      <c r="F343" s="10">
        <v>6.0098742540054682</v>
      </c>
      <c r="G343" s="10">
        <v>0.23056500004108085</v>
      </c>
      <c r="H343" s="10">
        <v>4.933082289514112</v>
      </c>
      <c r="I343" s="10">
        <v>0.1238639847675842</v>
      </c>
      <c r="J343">
        <v>6.1196489842134697E-4</v>
      </c>
      <c r="K343">
        <v>1.323424504263482E-3</v>
      </c>
      <c r="L343">
        <v>6.1267273771247518E-4</v>
      </c>
      <c r="M343">
        <v>1.3263475254089189E-3</v>
      </c>
      <c r="N343">
        <v>7.3410636474098903E-4</v>
      </c>
      <c r="O343">
        <v>2.1070769834064906E-4</v>
      </c>
    </row>
    <row r="344" spans="4:15" x14ac:dyDescent="0.2">
      <c r="D344" s="10">
        <f t="shared" si="2"/>
        <v>11.216100858122086</v>
      </c>
      <c r="E344" s="10"/>
      <c r="F344" s="10">
        <v>6.0924756027906408</v>
      </c>
      <c r="G344" s="10">
        <v>0.2262301189592367</v>
      </c>
      <c r="H344" s="10">
        <v>4.9743029227226829</v>
      </c>
      <c r="I344" s="10">
        <v>0.12495662876971905</v>
      </c>
      <c r="J344">
        <v>6.4366673031445278E-4</v>
      </c>
      <c r="K344">
        <v>1.426180419450926E-3</v>
      </c>
      <c r="L344">
        <v>6.4438791796547377E-4</v>
      </c>
      <c r="M344">
        <v>1.4293461991406286E-3</v>
      </c>
      <c r="N344">
        <v>7.7820165919495585E-4</v>
      </c>
      <c r="O344">
        <v>2.2407036326530118E-4</v>
      </c>
    </row>
    <row r="345" spans="4:15" x14ac:dyDescent="0.2">
      <c r="D345" s="10">
        <f t="shared" si="2"/>
        <v>11.428936292664213</v>
      </c>
      <c r="E345" s="10"/>
      <c r="F345" s="10">
        <v>6.1746936530276342</v>
      </c>
      <c r="G345" s="10">
        <v>0.22205521781373008</v>
      </c>
      <c r="H345" s="10">
        <v>5.0151741902848137</v>
      </c>
      <c r="I345" s="10">
        <v>0.12604029711623577</v>
      </c>
      <c r="J345">
        <v>6.7690138242371622E-4</v>
      </c>
      <c r="K345">
        <v>1.5411102073802857E-3</v>
      </c>
      <c r="L345">
        <v>6.7761726322207341E-4</v>
      </c>
      <c r="M345">
        <v>1.5445418930743445E-3</v>
      </c>
      <c r="N345">
        <v>8.240730862671959E-4</v>
      </c>
      <c r="O345">
        <v>2.3801413289684581E-4</v>
      </c>
    </row>
    <row r="346" spans="4:15" x14ac:dyDescent="0.2">
      <c r="D346" s="10">
        <f t="shared" si="2"/>
        <v>11.64177172720634</v>
      </c>
      <c r="E346" s="10"/>
      <c r="F346" s="10">
        <v>6.2565374680089754</v>
      </c>
      <c r="G346" s="10">
        <v>0.21803160161581331</v>
      </c>
      <c r="H346" s="10">
        <v>5.0557053188761865</v>
      </c>
      <c r="I346" s="10">
        <v>0.1271152087586658</v>
      </c>
      <c r="J346">
        <v>7.1220015311268764E-4</v>
      </c>
      <c r="K346">
        <v>1.6569638491960629E-3</v>
      </c>
      <c r="L346">
        <v>7.1292997875586277E-4</v>
      </c>
      <c r="M346">
        <v>1.6606702924234506E-3</v>
      </c>
      <c r="N346">
        <v>8.7175855013656275E-4</v>
      </c>
      <c r="O346">
        <v>2.5255318478100244E-4</v>
      </c>
    </row>
    <row r="347" spans="4:15" x14ac:dyDescent="0.2">
      <c r="D347" s="10">
        <f t="shared" si="2"/>
        <v>11.854607161748467</v>
      </c>
      <c r="E347" s="10"/>
      <c r="F347" s="10">
        <v>6.3380157174995215</v>
      </c>
      <c r="G347" s="10">
        <v>0.21415119421803008</v>
      </c>
      <c r="H347" s="10">
        <v>5.0959051061202194</v>
      </c>
      <c r="I347" s="10">
        <v>0.12818157384682768</v>
      </c>
      <c r="J347">
        <v>9.2373423117274658E-4</v>
      </c>
      <c r="K347">
        <v>1.778475253110303E-3</v>
      </c>
      <c r="L347">
        <v>9.2383395008644115E-4</v>
      </c>
      <c r="M347">
        <v>1.7824717377291992E-3</v>
      </c>
      <c r="N347">
        <v>9.2129606515569719E-4</v>
      </c>
      <c r="O347">
        <v>2.6770177980691123E-4</v>
      </c>
    </row>
    <row r="348" spans="4:15" x14ac:dyDescent="0.2">
      <c r="D348" s="10">
        <f t="shared" si="2"/>
        <v>12.067442596290594</v>
      </c>
      <c r="E348" s="10"/>
      <c r="F348" s="10">
        <v>6.4191367028092783</v>
      </c>
      <c r="G348" s="10">
        <v>0.21040648422549496</v>
      </c>
      <c r="H348" s="10">
        <v>5.1357819501203599</v>
      </c>
      <c r="I348" s="10">
        <v>0.12923959421841164</v>
      </c>
      <c r="J348">
        <v>9.7197946815747404E-4</v>
      </c>
      <c r="K348">
        <v>1.9662987249366892E-3</v>
      </c>
      <c r="L348">
        <v>9.7208346143493746E-4</v>
      </c>
      <c r="M348">
        <v>1.9100290823675108E-3</v>
      </c>
      <c r="N348">
        <v>9.7272375378623242E-4</v>
      </c>
      <c r="O348">
        <v>2.8347426107344469E-4</v>
      </c>
    </row>
    <row r="349" spans="4:15" x14ac:dyDescent="0.2">
      <c r="D349" s="10">
        <f t="shared" si="2"/>
        <v>12.28027803083272</v>
      </c>
      <c r="E349" s="10"/>
      <c r="F349" s="10">
        <v>6.4999083797598081</v>
      </c>
      <c r="G349" s="10">
        <v>0.20679047648232776</v>
      </c>
      <c r="H349" s="10">
        <v>5.1753438762707438</v>
      </c>
      <c r="I349" s="10">
        <v>0.13028946385396334</v>
      </c>
      <c r="J349">
        <v>1.0215806075401339E-3</v>
      </c>
      <c r="K349">
        <v>2.1164897441417357E-3</v>
      </c>
      <c r="L349">
        <v>1.0216889297659502E-3</v>
      </c>
      <c r="M349">
        <v>2.1212166362948961E-3</v>
      </c>
      <c r="N349">
        <v>1.0260798446053369E-3</v>
      </c>
      <c r="O349">
        <v>2.9988505278912632E-4</v>
      </c>
    </row>
    <row r="350" spans="4:15" x14ac:dyDescent="0.2">
      <c r="D350" s="10">
        <f t="shared" si="2"/>
        <v>12.493113465374847</v>
      </c>
      <c r="E350" s="10"/>
      <c r="F350" s="10">
        <v>6.5803383797628907</v>
      </c>
      <c r="G350" s="10">
        <v>0.20329664847418291</v>
      </c>
      <c r="H350" s="10">
        <v>5.2145985616576604</v>
      </c>
      <c r="I350" s="10">
        <v>0.13133136930022096</v>
      </c>
      <c r="J350">
        <v>1.0725414525127788E-3</v>
      </c>
      <c r="K350">
        <v>2.2750524328940189E-3</v>
      </c>
      <c r="L350">
        <v>1.0726541564866042E-3</v>
      </c>
      <c r="M350">
        <v>2.2801442802979715E-3</v>
      </c>
      <c r="N350">
        <v>1.0814026703804536E-3</v>
      </c>
      <c r="O350">
        <v>3.1694865920417031E-4</v>
      </c>
    </row>
    <row r="351" spans="4:15" x14ac:dyDescent="0.2">
      <c r="D351" s="10">
        <f t="shared" si="2"/>
        <v>12.705948899916974</v>
      </c>
      <c r="E351" s="10"/>
      <c r="F351" s="10">
        <v>6.6604340292031985</v>
      </c>
      <c r="G351" s="10">
        <v>0.19991891107536763</v>
      </c>
      <c r="H351" s="10">
        <v>5.2535533573217386</v>
      </c>
      <c r="I351" s="10">
        <v>0.13236549006446377</v>
      </c>
      <c r="J351">
        <v>1.1248656960866387E-3</v>
      </c>
      <c r="K351">
        <v>2.4362064905524214E-3</v>
      </c>
      <c r="L351">
        <v>1.1249828328874097E-3</v>
      </c>
      <c r="M351">
        <v>2.4417650242933601E-3</v>
      </c>
      <c r="N351">
        <v>1.1387306662083857E-3</v>
      </c>
      <c r="O351">
        <v>3.3467966357311686E-4</v>
      </c>
    </row>
    <row r="352" spans="4:15" x14ac:dyDescent="0.2">
      <c r="D352" s="10">
        <f t="shared" si="2"/>
        <v>12.918784334459101</v>
      </c>
      <c r="E352" s="10"/>
      <c r="F352" s="10">
        <v>6.7402023672937421</v>
      </c>
      <c r="G352" s="10">
        <v>0.19665157314372722</v>
      </c>
      <c r="H352" s="10">
        <v>5.2922153086150656</v>
      </c>
      <c r="I352" s="10">
        <v>0.13339199898227075</v>
      </c>
      <c r="J352">
        <v>1.1785569182588514E-3</v>
      </c>
      <c r="K352">
        <v>2.5958166837139742E-3</v>
      </c>
      <c r="L352">
        <v>1.1786785373050454E-3</v>
      </c>
      <c r="M352">
        <v>2.6017827363318037E-3</v>
      </c>
      <c r="N352">
        <v>1.1981023677158085E-3</v>
      </c>
      <c r="O352">
        <v>3.530927271468339E-4</v>
      </c>
    </row>
    <row r="353" spans="4:15" x14ac:dyDescent="0.2">
      <c r="D353" s="10">
        <f t="shared" si="2"/>
        <v>13.131619769001228</v>
      </c>
      <c r="E353" s="10"/>
      <c r="F353" s="10">
        <v>6.8196501625529438</v>
      </c>
      <c r="G353" s="10">
        <v>0.19348930953036078</v>
      </c>
      <c r="H353" s="10">
        <v>5.3305911738570684</v>
      </c>
      <c r="I353" s="10">
        <v>0.13441106256085536</v>
      </c>
      <c r="J353">
        <v>1.2336186015943873E-3</v>
      </c>
      <c r="K353">
        <v>2.7223063476591899E-3</v>
      </c>
      <c r="L353">
        <v>1.2337447507031253E-3</v>
      </c>
      <c r="M353">
        <v>2.7284820323790651E-3</v>
      </c>
      <c r="N353">
        <v>1.259556409318272E-3</v>
      </c>
      <c r="O353">
        <v>3.7220258819248503E-4</v>
      </c>
    </row>
    <row r="354" spans="4:15" x14ac:dyDescent="0.2">
      <c r="D354" s="10">
        <f t="shared" si="2"/>
        <v>13.344455203543355</v>
      </c>
      <c r="E354" s="10"/>
      <c r="F354" s="10">
        <v>6.8987839280350522</v>
      </c>
      <c r="G354" s="10">
        <v>0.19042713212601278</v>
      </c>
      <c r="H354" s="10">
        <v>5.3686874414670438</v>
      </c>
      <c r="I354" s="10">
        <v>0.13542284129993679</v>
      </c>
      <c r="J354">
        <v>1.2900541459188893E-3</v>
      </c>
      <c r="K354">
        <v>2.8555128778888022E-3</v>
      </c>
      <c r="L354">
        <v>1.2901848713639168E-3</v>
      </c>
      <c r="M354">
        <v>2.8619119630298412E-3</v>
      </c>
      <c r="N354">
        <v>1.3231315225348554E-3</v>
      </c>
      <c r="O354">
        <v>3.9202406104034865E-4</v>
      </c>
    </row>
    <row r="355" spans="4:15" x14ac:dyDescent="0.2">
      <c r="D355" s="10">
        <f t="shared" si="2"/>
        <v>13.557290638085481</v>
      </c>
      <c r="E355" s="10"/>
      <c r="F355" s="10">
        <v>6.97760993543063</v>
      </c>
      <c r="G355" s="10">
        <v>0.18746036361310114</v>
      </c>
      <c r="H355" s="10">
        <v>5.4065103457290951</v>
      </c>
      <c r="I355" s="10">
        <v>0.13642748999192356</v>
      </c>
      <c r="J355">
        <v>2.3417947460872075E-3</v>
      </c>
      <c r="K355">
        <v>2.9955626498916299E-3</v>
      </c>
      <c r="L355">
        <v>2.3422353009023475E-3</v>
      </c>
      <c r="M355">
        <v>3.0021994100350529E-3</v>
      </c>
      <c r="N355">
        <v>1.3888665343558628E-3</v>
      </c>
      <c r="O355">
        <v>4.125720351563546E-4</v>
      </c>
    </row>
    <row r="356" spans="4:15" x14ac:dyDescent="0.2">
      <c r="D356" s="10">
        <f t="shared" si="2"/>
        <v>13.770126072627608</v>
      </c>
      <c r="E356" s="10"/>
      <c r="F356" s="10">
        <v>7.0561342281409294</v>
      </c>
      <c r="G356" s="10">
        <v>0.18458461363295045</v>
      </c>
      <c r="H356" s="10">
        <v>5.4440658813263729</v>
      </c>
      <c r="I356" s="10">
        <v>0.13742515800302219</v>
      </c>
      <c r="J356">
        <v>2.4039621873699871E-3</v>
      </c>
      <c r="K356">
        <v>3.1425836596925601E-3</v>
      </c>
      <c r="L356">
        <v>2.4044086995741684E-3</v>
      </c>
      <c r="M356">
        <v>3.149472900787141E-3</v>
      </c>
      <c r="N356">
        <v>1.4568003656611358E-3</v>
      </c>
      <c r="O356">
        <v>4.3386147423924668E-4</v>
      </c>
    </row>
    <row r="357" spans="4:15" x14ac:dyDescent="0.2">
      <c r="D357" s="10">
        <f t="shared" si="2"/>
        <v>13.982961507169735</v>
      </c>
      <c r="E357" s="10"/>
      <c r="F357" s="10">
        <v>7.1343626334186618</v>
      </c>
      <c r="G357" s="10">
        <v>0.18179575711288312</v>
      </c>
      <c r="H357" s="10">
        <v>5.4813598167649928</v>
      </c>
      <c r="I357" s="10">
        <v>0.13841598953673576</v>
      </c>
      <c r="J357">
        <v>2.4670148846957095E-3</v>
      </c>
      <c r="K357">
        <v>3.2967049158265974E-3</v>
      </c>
      <c r="L357">
        <v>2.4674673730600122E-3</v>
      </c>
      <c r="M357">
        <v>3.3038619995413784E-3</v>
      </c>
      <c r="N357">
        <v>1.5269720296868055E-3</v>
      </c>
      <c r="O357">
        <v>4.5590741534139449E-4</v>
      </c>
    </row>
    <row r="358" spans="4:15" x14ac:dyDescent="0.2">
      <c r="D358" s="10">
        <f t="shared" si="2"/>
        <v>14.195796941711862</v>
      </c>
      <c r="E358" s="10"/>
      <c r="F358" s="10">
        <v>7.2123007736577289</v>
      </c>
      <c r="G358" s="10">
        <v>0.17908991452822201</v>
      </c>
      <c r="H358" s="10">
        <v>5.5183977067941328</v>
      </c>
      <c r="I358" s="10">
        <v>0.13940012388108619</v>
      </c>
      <c r="J358">
        <v>2.5309505094194963E-3</v>
      </c>
      <c r="K358">
        <v>3.4580559570648009E-3</v>
      </c>
      <c r="L358">
        <v>2.5314089915776487E-3</v>
      </c>
      <c r="M358">
        <v>3.4654968217482378E-3</v>
      </c>
      <c r="N358">
        <v>1.5994206305381307E-3</v>
      </c>
      <c r="O358">
        <v>4.7872496801226115E-4</v>
      </c>
    </row>
    <row r="359" spans="4:15" x14ac:dyDescent="0.2">
      <c r="D359" s="10">
        <f t="shared" si="2"/>
        <v>14.408632376253989</v>
      </c>
      <c r="E359" s="10"/>
      <c r="F359" s="10">
        <v>7.2899540769058362</v>
      </c>
      <c r="G359" s="10">
        <v>0.17646343390063118</v>
      </c>
      <c r="H359" s="10">
        <v>5.5551849039164614</v>
      </c>
      <c r="I359" s="10">
        <v>0.14037769564077643</v>
      </c>
      <c r="J359">
        <v>2.5957668200473033E-3</v>
      </c>
      <c r="K359">
        <v>3.6267663705853827E-3</v>
      </c>
      <c r="L359">
        <v>2.5962313125594888E-3</v>
      </c>
      <c r="M359">
        <v>3.6345075514849098E-3</v>
      </c>
      <c r="N359">
        <v>1.6741853617465731E-3</v>
      </c>
      <c r="O359">
        <v>5.0232931346371184E-4</v>
      </c>
    </row>
    <row r="360" spans="4:15" x14ac:dyDescent="0.2">
      <c r="D360" s="10">
        <f t="shared" si="2"/>
        <v>14.621467810796116</v>
      </c>
      <c r="E360" s="10"/>
      <c r="F360" s="10">
        <v>7.3673277866662845</v>
      </c>
      <c r="G360" s="10">
        <v>0.17391287435717948</v>
      </c>
      <c r="H360" s="10">
        <v>5.591726569072569</v>
      </c>
      <c r="I360" s="10">
        <v>0.14134883495540115</v>
      </c>
      <c r="J360">
        <v>2.6614616797110205E-3</v>
      </c>
      <c r="K360">
        <v>3.7998766224188142E-3</v>
      </c>
      <c r="L360">
        <v>2.6619321981300277E-3</v>
      </c>
      <c r="M360">
        <v>3.8078671814578812E-3</v>
      </c>
      <c r="N360">
        <v>1.7513055048692728E-3</v>
      </c>
      <c r="O360">
        <v>5.2673570375623001E-4</v>
      </c>
    </row>
    <row r="361" spans="4:15" x14ac:dyDescent="0.2">
      <c r="D361" s="10">
        <f t="shared" si="2"/>
        <v>14.834303245338242</v>
      </c>
      <c r="E361" s="10"/>
      <c r="F361" s="10">
        <v>7.4444269710484958</v>
      </c>
      <c r="G361" s="10">
        <v>0.17143499109451646</v>
      </c>
      <c r="H361" s="10">
        <v>5.6280276815737729</v>
      </c>
      <c r="I361" s="10">
        <v>0.1423136677047204</v>
      </c>
      <c r="J361">
        <v>2.7280330239474833E-3</v>
      </c>
      <c r="K361">
        <v>3.9855206253017724E-3</v>
      </c>
      <c r="L361">
        <v>2.7285095828734401E-3</v>
      </c>
      <c r="M361">
        <v>3.9938759564089469E-3</v>
      </c>
      <c r="N361">
        <v>1.8308204281286293E-3</v>
      </c>
      <c r="O361">
        <v>5.5195946100526736E-4</v>
      </c>
    </row>
    <row r="362" spans="4:15" x14ac:dyDescent="0.2">
      <c r="D362" s="10">
        <f t="shared" ref="D362:D378" si="3">D361+(N_pmax-N_pmin)/100</f>
        <v>15.047138679880369</v>
      </c>
      <c r="E362" s="10"/>
      <c r="F362" s="10">
        <v>7.5212565313209341</v>
      </c>
      <c r="G362" s="10">
        <v>0.16902672161003524</v>
      </c>
      <c r="H362" s="10">
        <v>5.6640930483497494</v>
      </c>
      <c r="I362" s="10">
        <v>0.14327231570192409</v>
      </c>
      <c r="J362">
        <v>2.7954788771231342E-3</v>
      </c>
      <c r="K362">
        <v>4.1781139215057456E-3</v>
      </c>
      <c r="L362">
        <v>2.7959614902604473E-3</v>
      </c>
      <c r="M362">
        <v>4.1868471615238339E-3</v>
      </c>
      <c r="N362">
        <v>1.9127695850910892E-3</v>
      </c>
      <c r="O362">
        <v>5.7801597660701149E-4</v>
      </c>
    </row>
    <row r="363" spans="4:15" x14ac:dyDescent="0.2">
      <c r="D363" s="10">
        <f t="shared" si="3"/>
        <v>15.259974114422496</v>
      </c>
      <c r="E363" s="10"/>
      <c r="F363" s="10">
        <v>7.5978212099147466</v>
      </c>
      <c r="G363" s="10">
        <v>0.16668517307719771</v>
      </c>
      <c r="H363" s="10">
        <v>5.6999273125702814</v>
      </c>
      <c r="I363" s="10">
        <v>0.14422489687573697</v>
      </c>
      <c r="J363">
        <v>2.8637973290220782E-3</v>
      </c>
      <c r="K363">
        <v>4.3777453039025626E-3</v>
      </c>
      <c r="L363">
        <v>2.8642860092275547E-3</v>
      </c>
      <c r="M363">
        <v>4.3868698237022677E-3</v>
      </c>
      <c r="N363">
        <v>1.9971925133828328E-3</v>
      </c>
      <c r="O363">
        <v>6.0492071048273406E-4</v>
      </c>
    </row>
    <row r="364" spans="4:15" x14ac:dyDescent="0.2">
      <c r="D364" s="10">
        <f t="shared" si="3"/>
        <v>15.472809548964623</v>
      </c>
      <c r="E364" s="10"/>
      <c r="F364" s="10">
        <v>7.6741255979219227</v>
      </c>
      <c r="G364" s="10">
        <v>0.16440761075561686</v>
      </c>
      <c r="H364" s="10">
        <v>5.7355349616943228</v>
      </c>
      <c r="I364" s="10">
        <v>0.14517152544214332</v>
      </c>
      <c r="J364">
        <v>2.9329865335208033E-3</v>
      </c>
      <c r="K364">
        <v>4.5845018889188087E-3</v>
      </c>
      <c r="L364">
        <v>2.9334812928498251E-3</v>
      </c>
      <c r="M364">
        <v>4.5940312948245764E-3</v>
      </c>
      <c r="N364">
        <v>2.084128833441144E-3</v>
      </c>
      <c r="O364">
        <v>6.3268919034117519E-4</v>
      </c>
    </row>
    <row r="365" spans="4:15" x14ac:dyDescent="0.2">
      <c r="D365" s="10">
        <f t="shared" si="3"/>
        <v>15.68564498350675</v>
      </c>
      <c r="E365" s="10"/>
      <c r="F365" s="10">
        <v>7.7501741421274861</v>
      </c>
      <c r="G365" s="10">
        <v>0.16219144733828939</v>
      </c>
      <c r="H365" s="10">
        <v>5.7709203349941527</v>
      </c>
      <c r="I365" s="10">
        <v>0.14611231206644842</v>
      </c>
      <c r="J365">
        <v>3.0080827599342792E-3</v>
      </c>
      <c r="K365">
        <v>4.7984690720073893E-3</v>
      </c>
      <c r="L365">
        <v>3.0085844360516587E-3</v>
      </c>
      <c r="M365">
        <v>4.8084172056237131E-3</v>
      </c>
      <c r="N365">
        <v>2.1736182473001166E-3</v>
      </c>
      <c r="O365">
        <v>6.6133701095817687E-4</v>
      </c>
    </row>
    <row r="366" spans="4:15" x14ac:dyDescent="0.2">
      <c r="D366" s="10">
        <f t="shared" si="3"/>
        <v>15.898480418048877</v>
      </c>
      <c r="E366" s="10"/>
      <c r="F366" s="10">
        <v>7.8259711516116504</v>
      </c>
      <c r="G366" s="10">
        <v>0.16003423314874909</v>
      </c>
      <c r="H366" s="10">
        <v>5.8060876305975215</v>
      </c>
      <c r="I366" s="10">
        <v>0.14704736401633323</v>
      </c>
      <c r="J366">
        <v>3.0855483338062431E-3</v>
      </c>
      <c r="K366">
        <v>5.0197304448905211E-3</v>
      </c>
      <c r="L366">
        <v>3.08605718294397E-3</v>
      </c>
      <c r="M366">
        <v>5.0301113844823473E-3</v>
      </c>
      <c r="N366">
        <v>2.2657005374090689E-3</v>
      </c>
      <c r="O366">
        <v>6.9087983347302924E-4</v>
      </c>
    </row>
    <row r="367" spans="4:15" x14ac:dyDescent="0.2">
      <c r="D367" s="10">
        <f t="shared" si="3"/>
        <v>16.111315852591002</v>
      </c>
      <c r="E367" s="10"/>
      <c r="F367" s="10">
        <v>7.9015208039545151</v>
      </c>
      <c r="G367" s="10">
        <v>0.15793364711007316</v>
      </c>
      <c r="H367" s="10">
        <v>5.8410409120865969</v>
      </c>
      <c r="I367" s="10">
        <v>0.14797678530650921</v>
      </c>
      <c r="J367">
        <v>3.164205224460375E-3</v>
      </c>
      <c r="K367">
        <v>5.2483677730211752E-3</v>
      </c>
      <c r="L367">
        <v>3.1647212887782306E-3</v>
      </c>
      <c r="M367">
        <v>5.2591958339308423E-3</v>
      </c>
      <c r="N367">
        <v>2.3604155654826384E-3</v>
      </c>
      <c r="O367">
        <v>7.2133338470092899E-4</v>
      </c>
    </row>
    <row r="368" spans="4:15" x14ac:dyDescent="0.2">
      <c r="D368" s="10">
        <f t="shared" si="3"/>
        <v>16.324151287133127</v>
      </c>
      <c r="E368" s="10"/>
      <c r="F368" s="10">
        <v>7.9768271510730058</v>
      </c>
      <c r="G368" s="10">
        <v>0.15588748841575725</v>
      </c>
      <c r="H368" s="10">
        <v>5.8757841146886607</v>
      </c>
      <c r="I368" s="10">
        <v>0.14890067683553107</v>
      </c>
      <c r="J368">
        <v>3.2440521012868664E-3</v>
      </c>
      <c r="K368">
        <v>5.4844609521041013E-3</v>
      </c>
      <c r="L368">
        <v>3.2445754213873963E-3</v>
      </c>
      <c r="M368">
        <v>5.4957506869749151E-3</v>
      </c>
      <c r="N368">
        <v>2.4578032713811339E-3</v>
      </c>
      <c r="O368">
        <v>7.5271345646094707E-4</v>
      </c>
    </row>
    <row r="369" spans="4:15" x14ac:dyDescent="0.2">
      <c r="D369" s="10">
        <f t="shared" si="3"/>
        <v>16.536986721675252</v>
      </c>
      <c r="E369" s="10"/>
      <c r="F369" s="10">
        <v>8.0518941247170073</v>
      </c>
      <c r="G369" s="10">
        <v>0.1538936688396399</v>
      </c>
      <c r="H369" s="10">
        <v>5.9103210510902295</v>
      </c>
      <c r="I369" s="10">
        <v>0.1498191365152815</v>
      </c>
      <c r="J369">
        <v>3.3250877348839475E-3</v>
      </c>
      <c r="K369">
        <v>5.7280880077217036E-3</v>
      </c>
      <c r="L369">
        <v>3.325618349890677E-3</v>
      </c>
      <c r="M369">
        <v>5.7398542073121128E-3</v>
      </c>
      <c r="N369">
        <v>2.5579036720201564E-3</v>
      </c>
      <c r="O369">
        <v>7.850359049189783E-4</v>
      </c>
    </row>
    <row r="370" spans="4:15" x14ac:dyDescent="0.2">
      <c r="D370" s="10">
        <f t="shared" si="3"/>
        <v>16.749822156217377</v>
      </c>
      <c r="E370" s="10"/>
      <c r="F370" s="10">
        <v>8.1267255416494315</v>
      </c>
      <c r="G370" s="10">
        <v>0.15195020562839476</v>
      </c>
      <c r="H370" s="10">
        <v>5.9446554169033119</v>
      </c>
      <c r="I370" s="10">
        <v>0.15073225939360363</v>
      </c>
      <c r="J370">
        <v>3.4073109653295873E-3</v>
      </c>
      <c r="K370">
        <v>5.9793250435611822E-3</v>
      </c>
      <c r="L370">
        <v>3.4078489129540299E-3</v>
      </c>
      <c r="M370">
        <v>5.9915827363849206E-3</v>
      </c>
      <c r="N370">
        <v>2.6607568603082095E-3</v>
      </c>
      <c r="O370">
        <v>8.1831664994521237E-4</v>
      </c>
    </row>
    <row r="371" spans="4:15" x14ac:dyDescent="0.2">
      <c r="D371" s="10">
        <f t="shared" si="3"/>
        <v>16.962657590759502</v>
      </c>
      <c r="E371" s="10"/>
      <c r="F371" s="10">
        <v>8.2013251085326946</v>
      </c>
      <c r="G371" s="10">
        <v>0.15005521492574889</v>
      </c>
      <c r="H371" s="10">
        <v>5.9787907958098918</v>
      </c>
      <c r="I371" s="10">
        <v>0.15164013777051985</v>
      </c>
      <c r="J371">
        <v>3.6154853455104192E-3</v>
      </c>
      <c r="K371">
        <v>6.2382462833751881E-3</v>
      </c>
      <c r="L371">
        <v>3.6160339540661736E-3</v>
      </c>
      <c r="M371">
        <v>6.2510107352757426E-3</v>
      </c>
      <c r="N371">
        <v>2.766403004111431E-3</v>
      </c>
      <c r="O371">
        <v>8.5257167448557242E-4</v>
      </c>
    </row>
    <row r="372" spans="4:15" x14ac:dyDescent="0.2">
      <c r="D372" s="10">
        <f t="shared" si="3"/>
        <v>17.175493025301627</v>
      </c>
      <c r="E372" s="10"/>
      <c r="F372" s="10">
        <v>8.2756964265422575</v>
      </c>
      <c r="G372" s="10">
        <v>0.14820690568258965</v>
      </c>
      <c r="H372" s="10">
        <v>6.012730664408334</v>
      </c>
      <c r="I372" s="10">
        <v>0.15254286130844322</v>
      </c>
      <c r="J372">
        <v>3.7122375022227063E-3</v>
      </c>
      <c r="K372">
        <v>6.504924023571672E-3</v>
      </c>
      <c r="L372">
        <v>3.7127944527576527E-3</v>
      </c>
      <c r="M372">
        <v>6.5182107392005618E-3</v>
      </c>
      <c r="N372">
        <v>2.8748823452444047E-3</v>
      </c>
      <c r="O372">
        <v>8.8781702394666198E-4</v>
      </c>
    </row>
    <row r="373" spans="4:15" x14ac:dyDescent="0.2">
      <c r="D373" s="10">
        <f t="shared" si="3"/>
        <v>17.388328459843752</v>
      </c>
      <c r="E373" s="10"/>
      <c r="F373" s="10">
        <v>8.3498429957261013</v>
      </c>
      <c r="G373" s="10">
        <v>0.14640357401158574</v>
      </c>
      <c r="H373" s="10">
        <v>6.0464783967833542</v>
      </c>
      <c r="I373" s="10">
        <v>0.15344051713675749</v>
      </c>
      <c r="J373">
        <v>3.8105401316618909E-3</v>
      </c>
      <c r="K373">
        <v>6.8002865578196629E-3</v>
      </c>
      <c r="L373">
        <v>3.8111054706047912E-3</v>
      </c>
      <c r="M373">
        <v>6.8141362708563418E-3</v>
      </c>
      <c r="N373">
        <v>2.9862351984856648E-3</v>
      </c>
      <c r="O373">
        <v>9.2406880559391244E-4</v>
      </c>
    </row>
    <row r="374" spans="4:15" x14ac:dyDescent="0.2">
      <c r="D374" s="10">
        <f t="shared" si="3"/>
        <v>17.601163894385877</v>
      </c>
      <c r="E374" s="10"/>
      <c r="F374" s="10">
        <v>8.4237682191274885</v>
      </c>
      <c r="G374" s="10">
        <v>0.14464359794892415</v>
      </c>
      <c r="H374" s="10">
        <v>6.0800372688192716</v>
      </c>
      <c r="I374" s="10">
        <v>0.15433318995111442</v>
      </c>
      <c r="J374">
        <v>3.910393669027336E-3</v>
      </c>
      <c r="K374">
        <v>7.089713486503251E-3</v>
      </c>
      <c r="L374">
        <v>3.9109674413678715E-3</v>
      </c>
      <c r="M374">
        <v>7.104125586237635E-3</v>
      </c>
      <c r="N374">
        <v>3.1005019506181626E-3</v>
      </c>
      <c r="O374">
        <v>9.6134318796216669E-4</v>
      </c>
    </row>
    <row r="375" spans="4:15" x14ac:dyDescent="0.2">
      <c r="D375" s="10">
        <f t="shared" si="3"/>
        <v>17.813999328928002</v>
      </c>
      <c r="E375" s="10"/>
      <c r="F375" s="10">
        <v>8.4974754066869398</v>
      </c>
      <c r="G375" s="10">
        <v>0.14292543258931967</v>
      </c>
      <c r="H375" s="10">
        <v>6.1134104622745831</v>
      </c>
      <c r="I375" s="10">
        <v>0.15522096210777103</v>
      </c>
      <c r="J375">
        <v>4.011798567237033E-3</v>
      </c>
      <c r="K375">
        <v>7.5015519075969867E-3</v>
      </c>
      <c r="L375">
        <v>4.0123808165849718E-3</v>
      </c>
      <c r="M375">
        <v>7.5166783903651791E-3</v>
      </c>
      <c r="N375">
        <v>3.2177230594922068E-3</v>
      </c>
      <c r="O375">
        <v>9.9965640027873293E-4</v>
      </c>
    </row>
    <row r="376" spans="4:15" x14ac:dyDescent="0.2">
      <c r="D376" s="10">
        <f t="shared" si="3"/>
        <v>18.026834763470127</v>
      </c>
      <c r="E376" s="10"/>
      <c r="F376" s="10">
        <v>8.5709677789380798</v>
      </c>
      <c r="G376" s="10">
        <v>0.141247605563629</v>
      </c>
      <c r="H376" s="10">
        <v>6.1466010686343591</v>
      </c>
      <c r="I376" s="10">
        <v>0.15610391371326734</v>
      </c>
      <c r="J376">
        <v>4.1147552944635355E-3</v>
      </c>
      <c r="K376">
        <v>7.837543924558878E-3</v>
      </c>
      <c r="L376">
        <v>4.1153460631056004E-3</v>
      </c>
      <c r="M376">
        <v>7.8533016683889189E-3</v>
      </c>
      <c r="N376">
        <v>3.3379390531115172E-3</v>
      </c>
      <c r="O376">
        <v>1.0390247318982147E-3</v>
      </c>
    </row>
    <row r="377" spans="4:15" x14ac:dyDescent="0.2">
      <c r="D377" s="10">
        <f t="shared" si="3"/>
        <v>18.239670198012252</v>
      </c>
      <c r="E377" s="10"/>
      <c r="F377" s="10">
        <v>8.6442484705107994</v>
      </c>
      <c r="G377" s="10">
        <v>0.13960871283125023</v>
      </c>
      <c r="H377" s="10">
        <v>6.1796120927555993</v>
      </c>
      <c r="I377" s="10">
        <v>0.15698212270972309</v>
      </c>
      <c r="J377">
        <v>4.219264316767112E-3</v>
      </c>
      <c r="K377">
        <v>8.1862864789423555E-3</v>
      </c>
      <c r="L377">
        <v>4.2198636457167942E-3</v>
      </c>
      <c r="M377">
        <v>8.2026976431423884E-3</v>
      </c>
      <c r="N377">
        <v>3.4611905287406154E-3</v>
      </c>
      <c r="O377">
        <v>1.0794645317487319E-3</v>
      </c>
    </row>
    <row r="378" spans="4:15" x14ac:dyDescent="0.2">
      <c r="D378" s="10">
        <f t="shared" si="3"/>
        <v>18.452505632554377</v>
      </c>
      <c r="E378" s="10"/>
      <c r="F378" s="10">
        <v>8.7173205334542683</v>
      </c>
      <c r="G378" s="10">
        <v>0.13800741476203718</v>
      </c>
      <c r="H378" s="10">
        <v>6.2124464563194612</v>
      </c>
      <c r="I378" s="10">
        <v>0.15785566495601303</v>
      </c>
      <c r="J378">
        <v>4.3253261092453766E-3</v>
      </c>
      <c r="K378">
        <v>8.5479564595675201E-3</v>
      </c>
      <c r="L378">
        <v>4.3259340382943625E-3</v>
      </c>
      <c r="M378">
        <v>8.56504356828117E-3</v>
      </c>
      <c r="N378">
        <v>3.5875181520334224E-3</v>
      </c>
      <c r="O378">
        <v>1.1209922077895223E-3</v>
      </c>
    </row>
    <row r="379" spans="4:15" x14ac:dyDescent="0.2">
      <c r="D379" s="10">
        <f t="shared" ref="D379:D387" si="4">D378+(N_pmax-N_pmin)/50</f>
        <v>18.878176501638631</v>
      </c>
      <c r="E379" s="10"/>
      <c r="F379" s="10">
        <v>8.8628505875138508</v>
      </c>
      <c r="G379" s="10">
        <v>0.13491254448114676</v>
      </c>
      <c r="H379" s="10">
        <v>6.277596492082834</v>
      </c>
      <c r="I379" s="10">
        <v>0.15958904267748281</v>
      </c>
      <c r="J379">
        <v>4.542109889913418E-3</v>
      </c>
      <c r="K379">
        <v>9.3107783720253294E-3</v>
      </c>
      <c r="L379">
        <v>4.5427351338740039E-3</v>
      </c>
      <c r="M379">
        <v>9.3292864139727164E-3</v>
      </c>
      <c r="N379">
        <v>3.8495648410856132E-3</v>
      </c>
      <c r="O379">
        <v>1.2073771122535675E-3</v>
      </c>
    </row>
    <row r="380" spans="4:15" x14ac:dyDescent="0.2">
      <c r="D380" s="10">
        <f t="shared" si="4"/>
        <v>19.303847370722885</v>
      </c>
      <c r="E380" s="10"/>
      <c r="F380" s="10">
        <v>9.0075808218821223</v>
      </c>
      <c r="G380" s="10">
        <v>0.13195343311989169</v>
      </c>
      <c r="H380" s="10">
        <v>6.3420730060570385</v>
      </c>
      <c r="I380" s="10">
        <v>0.16130461493124751</v>
      </c>
      <c r="J380">
        <v>4.7676271276182016E-3</v>
      </c>
      <c r="K380">
        <v>1.0127391094476166E-2</v>
      </c>
      <c r="L380">
        <v>4.7682605282299579E-3</v>
      </c>
      <c r="M380">
        <v>1.0147414594515139E-2</v>
      </c>
      <c r="N380">
        <v>4.1244057814261636E-3</v>
      </c>
      <c r="O380">
        <v>1.2983118696360189E-3</v>
      </c>
    </row>
    <row r="381" spans="4:15" x14ac:dyDescent="0.2">
      <c r="D381" s="10">
        <f t="shared" si="4"/>
        <v>19.729518239807138</v>
      </c>
      <c r="E381" s="10"/>
      <c r="F381" s="10">
        <v>9.1515329822958833</v>
      </c>
      <c r="G381" s="10">
        <v>0.12912133987983249</v>
      </c>
      <c r="H381" s="10">
        <v>6.4058966903422601</v>
      </c>
      <c r="I381" s="10">
        <v>0.16300292102350863</v>
      </c>
      <c r="J381">
        <v>5.0119615167507374E-3</v>
      </c>
      <c r="K381">
        <v>1.0999144754034053E-2</v>
      </c>
      <c r="L381">
        <v>5.0126136057078189E-3</v>
      </c>
      <c r="M381">
        <v>1.102078121275623E-2</v>
      </c>
      <c r="N381">
        <v>4.4123686759457072E-3</v>
      </c>
      <c r="O381">
        <v>1.3939298158063978E-3</v>
      </c>
    </row>
    <row r="382" spans="4:15" x14ac:dyDescent="0.2">
      <c r="D382" s="10">
        <f t="shared" si="4"/>
        <v>20.155189108891392</v>
      </c>
      <c r="E382" s="10"/>
      <c r="F382" s="10">
        <v>9.2947277601081097</v>
      </c>
      <c r="G382" s="10">
        <v>0.12640825854212123</v>
      </c>
      <c r="H382" s="10">
        <v>6.4690871821487876</v>
      </c>
      <c r="I382" s="10">
        <v>0.16468447351334239</v>
      </c>
      <c r="J382">
        <v>5.263477972302027E-3</v>
      </c>
      <c r="K382">
        <v>1.1927354823782352E-2</v>
      </c>
      <c r="L382">
        <v>5.2641489082068125E-3</v>
      </c>
      <c r="M382">
        <v>1.1950704735045219E-2</v>
      </c>
      <c r="N382">
        <v>4.7137822446779668E-3</v>
      </c>
      <c r="O382">
        <v>1.4943651825654449E-3</v>
      </c>
    </row>
    <row r="383" spans="4:15" x14ac:dyDescent="0.2">
      <c r="D383" s="10">
        <f t="shared" si="4"/>
        <v>20.580859977975646</v>
      </c>
      <c r="E383" s="10"/>
      <c r="F383" s="10">
        <v>9.437184865503065</v>
      </c>
      <c r="G383" s="10">
        <v>0.12380684188952187</v>
      </c>
      <c r="H383" s="10">
        <v>6.5316631390968434</v>
      </c>
      <c r="I383" s="10">
        <v>0.16634976003718643</v>
      </c>
      <c r="J383">
        <v>5.5221879927329328E-3</v>
      </c>
      <c r="K383">
        <v>1.2913227429327356E-2</v>
      </c>
      <c r="L383">
        <v>5.5228779260428455E-3</v>
      </c>
      <c r="M383">
        <v>1.2938394227385706E-2</v>
      </c>
      <c r="N383">
        <v>5.0289762012736125E-3</v>
      </c>
      <c r="O383">
        <v>1.5997530826295243E-3</v>
      </c>
    </row>
    <row r="384" spans="4:15" x14ac:dyDescent="0.2">
      <c r="D384" s="10">
        <f t="shared" si="4"/>
        <v>21.006530847059899</v>
      </c>
      <c r="E384" s="10"/>
      <c r="F384" s="10">
        <v>9.5789230941196593</v>
      </c>
      <c r="G384" s="10">
        <v>0.12131033527116455</v>
      </c>
      <c r="H384" s="10">
        <v>6.5936423075827664</v>
      </c>
      <c r="I384" s="10">
        <v>0.16799924497611254</v>
      </c>
      <c r="J384">
        <v>5.7881022964053315E-3</v>
      </c>
      <c r="K384">
        <v>1.3957682647327309E-2</v>
      </c>
      <c r="L384">
        <v>5.7888113699360822E-3</v>
      </c>
      <c r="M384">
        <v>1.3984772505004479E-2</v>
      </c>
      <c r="N384">
        <v>5.3582812304695804E-3</v>
      </c>
      <c r="O384">
        <v>1.7102294951596671E-3</v>
      </c>
    </row>
    <row r="385" spans="4:15" x14ac:dyDescent="0.2">
      <c r="D385" s="10">
        <f t="shared" si="4"/>
        <v>21.432201716144153</v>
      </c>
      <c r="E385" s="10"/>
      <c r="F385" s="10">
        <v>9.7199603878095537</v>
      </c>
      <c r="G385" s="10">
        <v>0.11891251804522984</v>
      </c>
      <c r="H385" s="10">
        <v>6.6550415849955042</v>
      </c>
      <c r="I385" s="10">
        <v>0.16963337098215639</v>
      </c>
      <c r="J385">
        <v>6.061230866799946E-3</v>
      </c>
      <c r="K385">
        <v>1.5062276715064816E-2</v>
      </c>
      <c r="L385">
        <v>6.0619592161889214E-3</v>
      </c>
      <c r="M385">
        <v>1.5091399126777231E-2</v>
      </c>
      <c r="N385">
        <v>5.702028966496079E-3</v>
      </c>
      <c r="O385">
        <v>1.8259312518052004E-3</v>
      </c>
    </row>
    <row r="386" spans="4:15" x14ac:dyDescent="0.2">
      <c r="D386" s="10">
        <f t="shared" si="4"/>
        <v>21.857872585228407</v>
      </c>
      <c r="E386" s="10"/>
      <c r="F386" s="10">
        <v>9.8603138901621428</v>
      </c>
      <c r="G386" s="10">
        <v>0.1166076518308428</v>
      </c>
      <c r="H386" s="10">
        <v>6.7158770764621059</v>
      </c>
      <c r="I386" s="10">
        <v>0.17125256037801795</v>
      </c>
      <c r="J386">
        <v>6.3415829600034085E-3</v>
      </c>
      <c r="K386">
        <v>1.6228166643484403E-2</v>
      </c>
      <c r="L386">
        <v>6.3423307141329197E-3</v>
      </c>
      <c r="M386">
        <v>1.6259434115213391E-2</v>
      </c>
      <c r="N386">
        <v>6.0605519723629878E-3</v>
      </c>
      <c r="O386">
        <v>1.9469960232342924E-3</v>
      </c>
    </row>
    <row r="387" spans="4:15" x14ac:dyDescent="0.2">
      <c r="D387" s="10">
        <f t="shared" si="4"/>
        <v>22.28354345431266</v>
      </c>
      <c r="E387" s="10"/>
      <c r="F387" s="10">
        <v>9.9999999973481977</v>
      </c>
      <c r="G387" s="10">
        <v>0.11439043466300267</v>
      </c>
      <c r="H387" s="10">
        <v>6.7761641467122375</v>
      </c>
      <c r="I387" s="10">
        <v>0.17285721644276053</v>
      </c>
      <c r="J387">
        <v>6.6291671711631549E-3</v>
      </c>
      <c r="K387">
        <v>1.7456467964896839E-2</v>
      </c>
      <c r="L387">
        <v>6.6299344525542828E-3</v>
      </c>
      <c r="M387">
        <v>1.7489996009629326E-2</v>
      </c>
      <c r="N387">
        <v>6.4341837199757652E-3</v>
      </c>
      <c r="O387">
        <v>2.0735623061258136E-3</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108" r:id="rId3" name="Button 36">
              <controlPr defaultSize="0" print="0" autoFill="0" autoPict="0" macro="[0]!upAET">
                <anchor moveWithCells="1">
                  <from>
                    <xdr:col>2</xdr:col>
                    <xdr:colOff>47625</xdr:colOff>
                    <xdr:row>169</xdr:row>
                    <xdr:rowOff>95250</xdr:rowOff>
                  </from>
                  <to>
                    <xdr:col>4</xdr:col>
                    <xdr:colOff>114300</xdr:colOff>
                    <xdr:row>172</xdr:row>
                    <xdr:rowOff>28575</xdr:rowOff>
                  </to>
                </anchor>
              </controlPr>
            </control>
          </mc:Choice>
        </mc:AlternateContent>
        <mc:AlternateContent xmlns:mc="http://schemas.openxmlformats.org/markup-compatibility/2006">
          <mc:Choice Requires="x14">
            <control shapeId="3111" r:id="rId4" name="Button 39">
              <controlPr defaultSize="0" print="0" autoFill="0" autoPict="0" macro="[0]!s4N_p">
                <anchor moveWithCells="1">
                  <from>
                    <xdr:col>2</xdr:col>
                    <xdr:colOff>1143000</xdr:colOff>
                    <xdr:row>216</xdr:row>
                    <xdr:rowOff>28575</xdr:rowOff>
                  </from>
                  <to>
                    <xdr:col>4</xdr:col>
                    <xdr:colOff>142875</xdr:colOff>
                    <xdr:row>217</xdr:row>
                    <xdr:rowOff>9525</xdr:rowOff>
                  </to>
                </anchor>
              </controlPr>
            </control>
          </mc:Choice>
        </mc:AlternateContent>
        <mc:AlternateContent xmlns:mc="http://schemas.openxmlformats.org/markup-compatibility/2006">
          <mc:Choice Requires="x14">
            <control shapeId="3130" r:id="rId5" name="Button 58">
              <controlPr defaultSize="0" print="0" autoFill="0" autoPict="0" macro="[0]!upAETp">
                <anchor moveWithCells="1">
                  <from>
                    <xdr:col>2</xdr:col>
                    <xdr:colOff>1905000</xdr:colOff>
                    <xdr:row>257</xdr:row>
                    <xdr:rowOff>28575</xdr:rowOff>
                  </from>
                  <to>
                    <xdr:col>2</xdr:col>
                    <xdr:colOff>2486025</xdr:colOff>
                    <xdr:row>258</xdr:row>
                    <xdr:rowOff>47625</xdr:rowOff>
                  </to>
                </anchor>
              </controlPr>
            </control>
          </mc:Choice>
        </mc:AlternateContent>
        <mc:AlternateContent xmlns:mc="http://schemas.openxmlformats.org/markup-compatibility/2006">
          <mc:Choice Requires="x14">
            <control shapeId="3133" r:id="rId6" name="Button 61">
              <controlPr defaultSize="0" print="0" autoFill="0" autoPict="0" macro="[0]!upAETap">
                <anchor moveWithCells="1">
                  <from>
                    <xdr:col>2</xdr:col>
                    <xdr:colOff>1924050</xdr:colOff>
                    <xdr:row>266</xdr:row>
                    <xdr:rowOff>0</xdr:rowOff>
                  </from>
                  <to>
                    <xdr:col>3</xdr:col>
                    <xdr:colOff>66675</xdr:colOff>
                    <xdr:row>267</xdr:row>
                    <xdr:rowOff>19050</xdr:rowOff>
                  </to>
                </anchor>
              </controlPr>
            </control>
          </mc:Choice>
        </mc:AlternateContent>
        <mc:AlternateContent xmlns:mc="http://schemas.openxmlformats.org/markup-compatibility/2006">
          <mc:Choice Requires="x14">
            <control shapeId="3134" r:id="rId7" name="Button 62">
              <controlPr defaultSize="0" print="0" autoFill="0" autoPict="0" macro="[0]!run_gsensic">
                <anchor moveWithCells="1">
                  <from>
                    <xdr:col>2</xdr:col>
                    <xdr:colOff>142875</xdr:colOff>
                    <xdr:row>275</xdr:row>
                    <xdr:rowOff>133350</xdr:rowOff>
                  </from>
                  <to>
                    <xdr:col>2</xdr:col>
                    <xdr:colOff>2028825</xdr:colOff>
                    <xdr:row>276</xdr:row>
                    <xdr:rowOff>142875</xdr:rowOff>
                  </to>
                </anchor>
              </controlPr>
            </control>
          </mc:Choice>
        </mc:AlternateContent>
        <mc:AlternateContent xmlns:mc="http://schemas.openxmlformats.org/markup-compatibility/2006">
          <mc:Choice Requires="x14">
            <control shapeId="3137" r:id="rId8" name="Button 65">
              <controlPr defaultSize="0" print="0" autoFill="0" autoPict="0" macro="[0]!upAETa">
                <anchor moveWithCells="1">
                  <from>
                    <xdr:col>2</xdr:col>
                    <xdr:colOff>742950</xdr:colOff>
                    <xdr:row>177</xdr:row>
                    <xdr:rowOff>114300</xdr:rowOff>
                  </from>
                  <to>
                    <xdr:col>2</xdr:col>
                    <xdr:colOff>1323975</xdr:colOff>
                    <xdr:row>178</xdr:row>
                    <xdr:rowOff>133350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CED05-4D5F-4AF1-AD47-7645AA4F2B0A}">
  <sheetPr codeName="Sheet3"/>
  <dimension ref="C1:FK194"/>
  <sheetViews>
    <sheetView workbookViewId="0">
      <pane xSplit="31" ySplit="5" topLeftCell="AF87" activePane="bottomRight" state="frozen"/>
      <selection pane="topRight" activeCell="F1" sqref="F1"/>
      <selection pane="bottomLeft" activeCell="A6" sqref="A6"/>
      <selection pane="bottomRight" activeCell="E95" sqref="E95"/>
    </sheetView>
  </sheetViews>
  <sheetFormatPr defaultRowHeight="12.75" x14ac:dyDescent="0.2"/>
  <cols>
    <col min="1" max="2" width="1.7109375" customWidth="1"/>
    <col min="3" max="4" width="6.7109375" customWidth="1"/>
    <col min="5" max="5" width="9.5703125" customWidth="1"/>
    <col min="6" max="6" width="11.140625" customWidth="1"/>
    <col min="7" max="30" width="6.7109375" customWidth="1"/>
    <col min="31" max="31" width="18.140625" customWidth="1"/>
    <col min="32" max="34" width="13.140625" bestFit="1" customWidth="1"/>
    <col min="35" max="35" width="12" bestFit="1" customWidth="1"/>
    <col min="36" max="36" width="13.140625" bestFit="1" customWidth="1"/>
    <col min="37" max="38" width="12" bestFit="1" customWidth="1"/>
    <col min="39" max="39" width="13.140625" bestFit="1" customWidth="1"/>
    <col min="40" max="41" width="12" bestFit="1" customWidth="1"/>
    <col min="42" max="52" width="13.140625" bestFit="1" customWidth="1"/>
    <col min="53" max="53" width="12" bestFit="1" customWidth="1"/>
    <col min="54" max="54" width="12.5703125" bestFit="1" customWidth="1"/>
    <col min="55" max="57" width="13.140625" bestFit="1" customWidth="1"/>
    <col min="58" max="59" width="12.5703125" bestFit="1" customWidth="1"/>
    <col min="60" max="66" width="13.140625" bestFit="1" customWidth="1"/>
    <col min="67" max="67" width="12.5703125" bestFit="1" customWidth="1"/>
    <col min="68" max="68" width="13.140625" bestFit="1" customWidth="1"/>
    <col min="69" max="69" width="12.5703125" bestFit="1" customWidth="1"/>
    <col min="70" max="71" width="13.140625" bestFit="1" customWidth="1"/>
    <col min="72" max="77" width="12.5703125" bestFit="1" customWidth="1"/>
    <col min="78" max="80" width="13.140625" bestFit="1" customWidth="1"/>
    <col min="81" max="81" width="12.5703125" bestFit="1" customWidth="1"/>
    <col min="82" max="83" width="13.140625" bestFit="1" customWidth="1"/>
    <col min="84" max="84" width="12.5703125" bestFit="1" customWidth="1"/>
    <col min="85" max="86" width="13.140625" bestFit="1" customWidth="1"/>
    <col min="87" max="87" width="12.5703125" bestFit="1" customWidth="1"/>
    <col min="88" max="90" width="13.140625" bestFit="1" customWidth="1"/>
    <col min="91" max="91" width="12.5703125" bestFit="1" customWidth="1"/>
    <col min="92" max="93" width="13.140625" bestFit="1" customWidth="1"/>
    <col min="94" max="94" width="12" bestFit="1" customWidth="1"/>
    <col min="95" max="101" width="12.5703125" bestFit="1" customWidth="1"/>
    <col min="102" max="103" width="12" bestFit="1" customWidth="1"/>
    <col min="104" max="108" width="12.5703125" bestFit="1" customWidth="1"/>
    <col min="109" max="111" width="12" bestFit="1" customWidth="1"/>
    <col min="112" max="114" width="12.5703125" bestFit="1" customWidth="1"/>
    <col min="115" max="115" width="12" bestFit="1" customWidth="1"/>
    <col min="116" max="116" width="12.5703125" bestFit="1" customWidth="1"/>
    <col min="117" max="121" width="12" bestFit="1" customWidth="1"/>
    <col min="122" max="125" width="12.5703125" bestFit="1" customWidth="1"/>
    <col min="126" max="126" width="12" bestFit="1" customWidth="1"/>
    <col min="127" max="127" width="12.5703125" bestFit="1" customWidth="1"/>
    <col min="128" max="133" width="12" bestFit="1" customWidth="1"/>
    <col min="134" max="134" width="12.5703125" bestFit="1" customWidth="1"/>
    <col min="135" max="143" width="12" bestFit="1" customWidth="1"/>
    <col min="144" max="147" width="12.5703125" bestFit="1" customWidth="1"/>
    <col min="148" max="149" width="12" bestFit="1" customWidth="1"/>
    <col min="150" max="152" width="12.5703125" bestFit="1" customWidth="1"/>
    <col min="153" max="156" width="12" bestFit="1" customWidth="1"/>
    <col min="157" max="157" width="12.5703125" bestFit="1" customWidth="1"/>
    <col min="158" max="161" width="12" bestFit="1" customWidth="1"/>
    <col min="162" max="162" width="12.5703125" bestFit="1" customWidth="1"/>
    <col min="163" max="167" width="12" bestFit="1" customWidth="1"/>
  </cols>
  <sheetData>
    <row r="1" spans="3:167" ht="13.5" thickBot="1" x14ac:dyDescent="0.25">
      <c r="C1" s="28" t="s">
        <v>339</v>
      </c>
      <c r="D1" s="29"/>
      <c r="E1" s="29"/>
      <c r="F1" s="29"/>
      <c r="G1" s="29"/>
      <c r="H1" s="30" t="s">
        <v>203</v>
      </c>
      <c r="I1" s="29"/>
      <c r="J1" s="29"/>
      <c r="K1" s="29"/>
      <c r="L1" s="29"/>
      <c r="M1" s="30" t="s">
        <v>204</v>
      </c>
      <c r="N1" s="29"/>
      <c r="O1" s="29"/>
      <c r="P1" s="30" t="s">
        <v>340</v>
      </c>
      <c r="Q1" s="29"/>
      <c r="R1" s="29"/>
      <c r="S1" s="30" t="s">
        <v>341</v>
      </c>
      <c r="T1" s="29"/>
      <c r="U1" s="29"/>
      <c r="V1" s="30" t="s">
        <v>342</v>
      </c>
      <c r="W1" s="29"/>
      <c r="X1" s="29"/>
      <c r="Y1" s="30" t="s">
        <v>356</v>
      </c>
      <c r="Z1" s="29"/>
      <c r="AA1" s="29"/>
      <c r="AB1" s="30" t="s">
        <v>357</v>
      </c>
      <c r="AC1" s="29"/>
      <c r="AD1" s="31"/>
      <c r="AE1" s="5" t="s">
        <v>347</v>
      </c>
    </row>
    <row r="2" spans="3:167" x14ac:dyDescent="0.2">
      <c r="C2" s="9" t="s">
        <v>206</v>
      </c>
      <c r="D2" s="9" t="s">
        <v>207</v>
      </c>
      <c r="E2" s="87" t="s">
        <v>848</v>
      </c>
      <c r="F2" s="87" t="s">
        <v>849</v>
      </c>
      <c r="G2" s="9" t="s">
        <v>355</v>
      </c>
      <c r="H2" s="9" t="s">
        <v>206</v>
      </c>
      <c r="I2" s="9" t="s">
        <v>207</v>
      </c>
      <c r="J2" s="87" t="s">
        <v>848</v>
      </c>
      <c r="K2" s="87" t="s">
        <v>849</v>
      </c>
      <c r="L2" s="9" t="s">
        <v>355</v>
      </c>
      <c r="M2" s="9" t="s">
        <v>206</v>
      </c>
      <c r="N2" s="9" t="s">
        <v>207</v>
      </c>
      <c r="O2" s="9" t="s">
        <v>355</v>
      </c>
      <c r="P2" s="9" t="s">
        <v>206</v>
      </c>
      <c r="Q2" s="9" t="s">
        <v>207</v>
      </c>
      <c r="R2" s="9" t="s">
        <v>355</v>
      </c>
      <c r="S2" s="9" t="s">
        <v>206</v>
      </c>
      <c r="T2" s="9" t="s">
        <v>207</v>
      </c>
      <c r="U2" s="9" t="s">
        <v>355</v>
      </c>
      <c r="V2" s="9" t="s">
        <v>206</v>
      </c>
      <c r="W2" s="9" t="s">
        <v>207</v>
      </c>
      <c r="X2" s="9" t="s">
        <v>355</v>
      </c>
      <c r="Y2" s="9" t="s">
        <v>206</v>
      </c>
      <c r="Z2" s="9" t="s">
        <v>207</v>
      </c>
      <c r="AA2" s="9" t="s">
        <v>355</v>
      </c>
      <c r="AB2" s="9" t="s">
        <v>206</v>
      </c>
      <c r="AC2" s="9" t="s">
        <v>207</v>
      </c>
      <c r="AD2" s="9" t="s">
        <v>355</v>
      </c>
    </row>
    <row r="3" spans="3:167" x14ac:dyDescent="0.2">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t="s">
        <v>147</v>
      </c>
      <c r="AF3" s="9" t="s">
        <v>203</v>
      </c>
      <c r="AG3" s="9" t="s">
        <v>203</v>
      </c>
      <c r="AH3" s="9" t="s">
        <v>203</v>
      </c>
      <c r="AI3" s="9" t="s">
        <v>203</v>
      </c>
      <c r="AJ3" s="9" t="s">
        <v>203</v>
      </c>
      <c r="AK3" s="9" t="s">
        <v>203</v>
      </c>
      <c r="AL3" s="9" t="s">
        <v>203</v>
      </c>
      <c r="AM3" s="9" t="s">
        <v>203</v>
      </c>
      <c r="AN3" s="9" t="s">
        <v>203</v>
      </c>
      <c r="AO3" s="9" t="s">
        <v>203</v>
      </c>
      <c r="AP3" s="9" t="s">
        <v>204</v>
      </c>
      <c r="AQ3" s="9" t="s">
        <v>204</v>
      </c>
      <c r="AR3" s="9" t="s">
        <v>204</v>
      </c>
      <c r="AS3" s="9" t="s">
        <v>204</v>
      </c>
      <c r="AT3" s="9" t="s">
        <v>204</v>
      </c>
      <c r="AU3" s="9" t="s">
        <v>204</v>
      </c>
      <c r="AV3" s="9" t="s">
        <v>204</v>
      </c>
      <c r="AW3" s="9" t="s">
        <v>204</v>
      </c>
      <c r="AX3" s="9" t="s">
        <v>204</v>
      </c>
      <c r="AY3" s="9" t="s">
        <v>204</v>
      </c>
      <c r="AZ3" s="9" t="s">
        <v>204</v>
      </c>
      <c r="BA3" s="9" t="s">
        <v>204</v>
      </c>
      <c r="BB3" s="9" t="s">
        <v>204</v>
      </c>
      <c r="BC3" s="9" t="s">
        <v>204</v>
      </c>
      <c r="BD3" s="9" t="s">
        <v>204</v>
      </c>
      <c r="BE3" s="9" t="s">
        <v>204</v>
      </c>
      <c r="BF3" s="9" t="s">
        <v>204</v>
      </c>
      <c r="BG3" s="9" t="s">
        <v>204</v>
      </c>
      <c r="BH3" s="9" t="s">
        <v>204</v>
      </c>
      <c r="BI3" s="9" t="s">
        <v>204</v>
      </c>
      <c r="BJ3" s="9" t="s">
        <v>204</v>
      </c>
      <c r="BK3" s="9" t="s">
        <v>204</v>
      </c>
      <c r="BL3" s="9" t="s">
        <v>204</v>
      </c>
      <c r="BM3" s="9" t="s">
        <v>164</v>
      </c>
      <c r="BN3" s="9" t="s">
        <v>164</v>
      </c>
      <c r="BO3" s="9" t="s">
        <v>164</v>
      </c>
      <c r="BP3" s="9" t="s">
        <v>164</v>
      </c>
      <c r="BQ3" s="9" t="s">
        <v>164</v>
      </c>
      <c r="BR3" s="9" t="s">
        <v>164</v>
      </c>
      <c r="BS3" s="9" t="s">
        <v>164</v>
      </c>
      <c r="BT3" s="9" t="s">
        <v>164</v>
      </c>
      <c r="BU3" s="9" t="s">
        <v>164</v>
      </c>
      <c r="BV3" s="9" t="s">
        <v>164</v>
      </c>
      <c r="BW3" s="9" t="s">
        <v>164</v>
      </c>
      <c r="BX3" s="9" t="s">
        <v>164</v>
      </c>
      <c r="BY3" s="9" t="s">
        <v>164</v>
      </c>
      <c r="BZ3" s="9" t="s">
        <v>164</v>
      </c>
      <c r="CA3" s="9" t="s">
        <v>164</v>
      </c>
      <c r="CB3" s="9" t="s">
        <v>164</v>
      </c>
      <c r="CC3" s="9" t="s">
        <v>164</v>
      </c>
      <c r="CD3" s="9" t="s">
        <v>164</v>
      </c>
      <c r="CE3" s="9" t="s">
        <v>164</v>
      </c>
      <c r="CF3" s="9" t="s">
        <v>164</v>
      </c>
      <c r="CG3" s="9" t="s">
        <v>164</v>
      </c>
      <c r="CH3" s="9" t="s">
        <v>164</v>
      </c>
      <c r="CI3" s="9" t="s">
        <v>164</v>
      </c>
      <c r="CJ3" s="9" t="s">
        <v>164</v>
      </c>
      <c r="CK3" s="9" t="s">
        <v>164</v>
      </c>
      <c r="CL3" s="9" t="s">
        <v>164</v>
      </c>
      <c r="CM3" s="9" t="s">
        <v>164</v>
      </c>
      <c r="CN3" s="9" t="s">
        <v>164</v>
      </c>
      <c r="CO3" s="9" t="s">
        <v>164</v>
      </c>
      <c r="CP3" s="9" t="s">
        <v>164</v>
      </c>
      <c r="CQ3" s="9" t="s">
        <v>164</v>
      </c>
      <c r="CR3" s="9" t="s">
        <v>164</v>
      </c>
      <c r="CS3" s="9" t="s">
        <v>164</v>
      </c>
      <c r="CT3" s="9" t="s">
        <v>164</v>
      </c>
      <c r="CU3" s="9" t="s">
        <v>164</v>
      </c>
      <c r="CV3" s="9" t="s">
        <v>164</v>
      </c>
      <c r="CW3" s="9" t="s">
        <v>164</v>
      </c>
      <c r="CX3" s="9" t="s">
        <v>164</v>
      </c>
      <c r="CY3" s="9" t="s">
        <v>164</v>
      </c>
      <c r="CZ3" s="9" t="s">
        <v>164</v>
      </c>
      <c r="DA3" s="9" t="s">
        <v>164</v>
      </c>
      <c r="DB3" s="9" t="s">
        <v>164</v>
      </c>
      <c r="DC3" s="9" t="s">
        <v>164</v>
      </c>
      <c r="DD3" s="9" t="s">
        <v>164</v>
      </c>
      <c r="DE3" s="9" t="s">
        <v>164</v>
      </c>
      <c r="DF3" s="9" t="s">
        <v>164</v>
      </c>
      <c r="DG3" s="9" t="s">
        <v>164</v>
      </c>
      <c r="DH3" s="9" t="s">
        <v>164</v>
      </c>
      <c r="DI3" s="9" t="s">
        <v>164</v>
      </c>
      <c r="DJ3" s="9" t="s">
        <v>164</v>
      </c>
      <c r="DK3" s="9" t="s">
        <v>164</v>
      </c>
      <c r="DL3" s="9" t="s">
        <v>164</v>
      </c>
      <c r="DM3" s="9" t="s">
        <v>164</v>
      </c>
      <c r="DN3" s="9" t="s">
        <v>164</v>
      </c>
      <c r="DO3" s="9" t="s">
        <v>164</v>
      </c>
      <c r="DP3" s="9" t="s">
        <v>164</v>
      </c>
      <c r="DQ3" s="9" t="s">
        <v>164</v>
      </c>
      <c r="DR3" s="9" t="s">
        <v>164</v>
      </c>
      <c r="DS3" s="9" t="s">
        <v>164</v>
      </c>
      <c r="DT3" s="9" t="s">
        <v>164</v>
      </c>
      <c r="DU3" s="9" t="s">
        <v>164</v>
      </c>
      <c r="DV3" s="9" t="s">
        <v>164</v>
      </c>
      <c r="DW3" s="9" t="s">
        <v>164</v>
      </c>
      <c r="DX3" s="9" t="s">
        <v>164</v>
      </c>
      <c r="DY3" s="9" t="s">
        <v>164</v>
      </c>
      <c r="DZ3" s="9" t="s">
        <v>164</v>
      </c>
      <c r="EA3" s="9" t="s">
        <v>164</v>
      </c>
      <c r="EB3" s="9" t="s">
        <v>164</v>
      </c>
      <c r="EC3" s="9" t="s">
        <v>164</v>
      </c>
      <c r="ED3" s="9" t="s">
        <v>164</v>
      </c>
      <c r="EE3" s="9" t="s">
        <v>164</v>
      </c>
      <c r="EF3" s="9" t="s">
        <v>164</v>
      </c>
      <c r="EG3" s="9" t="s">
        <v>164</v>
      </c>
      <c r="EH3" s="9" t="s">
        <v>164</v>
      </c>
      <c r="EI3" s="9" t="s">
        <v>164</v>
      </c>
      <c r="EJ3" s="9" t="s">
        <v>164</v>
      </c>
      <c r="EK3" s="9" t="s">
        <v>164</v>
      </c>
      <c r="EL3" s="9" t="s">
        <v>164</v>
      </c>
      <c r="EM3" s="9" t="s">
        <v>164</v>
      </c>
      <c r="EN3" s="9" t="s">
        <v>164</v>
      </c>
      <c r="EO3" s="9" t="s">
        <v>164</v>
      </c>
      <c r="EP3" s="9" t="s">
        <v>164</v>
      </c>
      <c r="EQ3" s="9" t="s">
        <v>164</v>
      </c>
      <c r="ER3" s="9" t="s">
        <v>164</v>
      </c>
      <c r="ES3" s="9" t="s">
        <v>164</v>
      </c>
      <c r="ET3" s="9" t="s">
        <v>164</v>
      </c>
      <c r="EU3" s="9" t="s">
        <v>164</v>
      </c>
      <c r="EV3" s="9" t="s">
        <v>164</v>
      </c>
      <c r="EW3" s="9" t="s">
        <v>164</v>
      </c>
      <c r="EX3" s="9" t="s">
        <v>164</v>
      </c>
      <c r="EY3" s="9" t="s">
        <v>164</v>
      </c>
      <c r="EZ3" s="9" t="s">
        <v>164</v>
      </c>
      <c r="FA3" s="9" t="s">
        <v>164</v>
      </c>
      <c r="FB3" s="9" t="s">
        <v>164</v>
      </c>
      <c r="FC3" s="9" t="s">
        <v>164</v>
      </c>
      <c r="FD3" s="9" t="s">
        <v>164</v>
      </c>
      <c r="FE3" s="9" t="s">
        <v>164</v>
      </c>
      <c r="FF3" s="9" t="s">
        <v>164</v>
      </c>
      <c r="FG3" s="9" t="s">
        <v>164</v>
      </c>
      <c r="FH3" s="9" t="s">
        <v>164</v>
      </c>
      <c r="FI3" s="9" t="s">
        <v>164</v>
      </c>
      <c r="FJ3" s="9" t="s">
        <v>164</v>
      </c>
      <c r="FK3" s="9" t="s">
        <v>164</v>
      </c>
    </row>
    <row r="4" spans="3:167" x14ac:dyDescent="0.2">
      <c r="C4" s="10">
        <f>MIN(AF4:EL4)</f>
        <v>1103</v>
      </c>
      <c r="D4" s="10">
        <f>MAX(AF4:EL4)</f>
        <v>7015</v>
      </c>
      <c r="E4" s="10" cm="1">
        <f t="array" ref="E4">gavg(AF4,EL4)</f>
        <v>2360.6702004106073</v>
      </c>
      <c r="F4" s="10" cm="1">
        <f t="array" ref="F4">lnstdev(AF4,EL4)</f>
        <v>0.56807286728395456</v>
      </c>
      <c r="G4" s="10">
        <f>COUNT(AF4:EL4)</f>
        <v>111</v>
      </c>
      <c r="H4" s="10">
        <f>MIN(AF4:AO4)</f>
        <v>1410</v>
      </c>
      <c r="I4" s="10">
        <f>MAX(AF4:AO4)</f>
        <v>1500</v>
      </c>
      <c r="J4" s="10"/>
      <c r="K4" s="10"/>
      <c r="L4" s="10">
        <f>COUNT(AF4:AO4)</f>
        <v>10</v>
      </c>
      <c r="M4" s="10">
        <f>MIN(AP4:BL4)</f>
        <v>1103</v>
      </c>
      <c r="N4" s="10">
        <f>MAX(AP4:BL4)</f>
        <v>1128</v>
      </c>
      <c r="O4" s="10">
        <f>COUNT(AP4:BL4)</f>
        <v>23</v>
      </c>
      <c r="P4" s="10">
        <f>MIN(BM4:CO4)</f>
        <v>2002</v>
      </c>
      <c r="Q4" s="10">
        <f>MAX(BM4:CO4)</f>
        <v>2130</v>
      </c>
      <c r="R4" s="10">
        <f>COUNT(BM4:CO4)</f>
        <v>29</v>
      </c>
      <c r="S4" s="10">
        <f>MIN(CP4:DT4)</f>
        <v>3001</v>
      </c>
      <c r="T4" s="10">
        <f>MAX(CP4:DT4)</f>
        <v>3209</v>
      </c>
      <c r="U4" s="10">
        <f>COUNT(CP4:DT4)</f>
        <v>31</v>
      </c>
      <c r="V4" s="10">
        <f t="shared" ref="V4:V66" si="0">MIN($DU4:$EL4)</f>
        <v>4004</v>
      </c>
      <c r="W4" s="10">
        <f t="shared" ref="W4:W66" si="1">MAX($DU4:$EL4)</f>
        <v>7015</v>
      </c>
      <c r="X4" s="10">
        <f t="shared" ref="X4:X66" si="2">COUNT($DU4:$EL4)</f>
        <v>18</v>
      </c>
      <c r="Y4" s="10">
        <f t="shared" ref="Y4:Y66" si="3">MIN($DU4:$DX4)</f>
        <v>4004</v>
      </c>
      <c r="Z4" s="10">
        <f t="shared" ref="Z4:Z66" si="4">MAX($DU4:$DX4)</f>
        <v>4019</v>
      </c>
      <c r="AA4" s="10">
        <f t="shared" ref="AA4:AA66" si="5">COUNT($DU4:$DX4)</f>
        <v>4</v>
      </c>
      <c r="AB4" s="10">
        <f t="shared" ref="AB4:AB66" si="6">MIN($DY4:$EL4)</f>
        <v>7001</v>
      </c>
      <c r="AC4" s="10">
        <f t="shared" ref="AC4:AC66" si="7">MAX($DY4:$EL4)</f>
        <v>7015</v>
      </c>
      <c r="AD4" s="10">
        <f t="shared" ref="AD4:AD66" si="8">COUNT($DY4:$EL4)</f>
        <v>14</v>
      </c>
      <c r="AE4" t="s">
        <v>80</v>
      </c>
      <c r="AF4" s="10">
        <v>1410</v>
      </c>
      <c r="AG4" s="10">
        <v>1420</v>
      </c>
      <c r="AH4" s="10">
        <v>1430</v>
      </c>
      <c r="AI4" s="10">
        <v>1440</v>
      </c>
      <c r="AJ4" s="10">
        <v>1450</v>
      </c>
      <c r="AK4" s="10">
        <v>1460</v>
      </c>
      <c r="AL4" s="10">
        <v>1470</v>
      </c>
      <c r="AM4" s="10">
        <v>1480</v>
      </c>
      <c r="AN4" s="10">
        <v>1490</v>
      </c>
      <c r="AO4" s="10">
        <v>1500</v>
      </c>
      <c r="AP4" s="10">
        <v>1103</v>
      </c>
      <c r="AQ4" s="10">
        <v>1104</v>
      </c>
      <c r="AR4" s="10">
        <v>1105</v>
      </c>
      <c r="AS4" s="10">
        <v>1106</v>
      </c>
      <c r="AT4" s="10">
        <v>1107</v>
      </c>
      <c r="AU4" s="10">
        <v>1108</v>
      </c>
      <c r="AV4" s="10">
        <v>1109</v>
      </c>
      <c r="AW4" s="10">
        <v>1110</v>
      </c>
      <c r="AX4" s="10">
        <v>1111</v>
      </c>
      <c r="AY4" s="10">
        <v>1112</v>
      </c>
      <c r="AZ4" s="10">
        <v>1113</v>
      </c>
      <c r="BA4" s="10">
        <v>1115</v>
      </c>
      <c r="BB4" s="10">
        <v>1117</v>
      </c>
      <c r="BC4" s="10">
        <v>1118</v>
      </c>
      <c r="BD4" s="10">
        <v>1119</v>
      </c>
      <c r="BE4" s="10">
        <v>1120</v>
      </c>
      <c r="BF4" s="10">
        <v>1121</v>
      </c>
      <c r="BG4" s="10">
        <v>1122</v>
      </c>
      <c r="BH4" s="10">
        <v>1123</v>
      </c>
      <c r="BI4" s="10">
        <v>1124</v>
      </c>
      <c r="BJ4" s="10">
        <v>1125</v>
      </c>
      <c r="BK4" s="10">
        <v>1127</v>
      </c>
      <c r="BL4" s="10">
        <v>1128</v>
      </c>
      <c r="BM4" s="10">
        <v>2002</v>
      </c>
      <c r="BN4" s="10">
        <v>2003</v>
      </c>
      <c r="BO4" s="10">
        <v>2004</v>
      </c>
      <c r="BP4" s="10">
        <v>2103</v>
      </c>
      <c r="BQ4" s="10">
        <v>2104</v>
      </c>
      <c r="BR4" s="10">
        <v>2105</v>
      </c>
      <c r="BS4" s="10">
        <v>2106</v>
      </c>
      <c r="BT4" s="10">
        <v>2107</v>
      </c>
      <c r="BU4" s="10">
        <v>2108</v>
      </c>
      <c r="BV4" s="10">
        <v>2109</v>
      </c>
      <c r="BW4" s="10">
        <v>2111</v>
      </c>
      <c r="BX4" s="10">
        <v>2112</v>
      </c>
      <c r="BY4" s="10">
        <v>2113</v>
      </c>
      <c r="BZ4" s="10">
        <v>2115</v>
      </c>
      <c r="CA4" s="10">
        <v>2116</v>
      </c>
      <c r="CB4" s="10">
        <v>2117</v>
      </c>
      <c r="CC4" s="10">
        <v>2118</v>
      </c>
      <c r="CD4" s="10">
        <v>2119</v>
      </c>
      <c r="CE4" s="10">
        <v>2120</v>
      </c>
      <c r="CF4" s="10">
        <v>2121</v>
      </c>
      <c r="CG4" s="10">
        <v>2122</v>
      </c>
      <c r="CH4" s="10">
        <v>2123</v>
      </c>
      <c r="CI4" s="10">
        <v>2124</v>
      </c>
      <c r="CJ4" s="10">
        <v>2125</v>
      </c>
      <c r="CK4" s="10">
        <v>2126</v>
      </c>
      <c r="CL4" s="10">
        <v>2127</v>
      </c>
      <c r="CM4" s="10">
        <v>2128</v>
      </c>
      <c r="CN4" s="10">
        <v>2129</v>
      </c>
      <c r="CO4" s="10">
        <v>2130</v>
      </c>
      <c r="CP4" s="10">
        <v>3001</v>
      </c>
      <c r="CQ4" s="10">
        <v>3002</v>
      </c>
      <c r="CR4" s="10">
        <v>3003</v>
      </c>
      <c r="CS4" s="10">
        <v>3004</v>
      </c>
      <c r="CT4" s="10">
        <v>3005</v>
      </c>
      <c r="CU4" s="10">
        <v>3006</v>
      </c>
      <c r="CV4" s="10">
        <v>3007</v>
      </c>
      <c r="CW4" s="10">
        <v>3008</v>
      </c>
      <c r="CX4" s="10">
        <v>3009</v>
      </c>
      <c r="CY4" s="10">
        <v>3010</v>
      </c>
      <c r="CZ4" s="10">
        <v>3011</v>
      </c>
      <c r="DA4" s="10">
        <v>3012</v>
      </c>
      <c r="DB4" s="10">
        <v>3013</v>
      </c>
      <c r="DC4" s="10">
        <v>3014</v>
      </c>
      <c r="DD4" s="10">
        <v>3016</v>
      </c>
      <c r="DE4" s="10">
        <v>3017</v>
      </c>
      <c r="DF4" s="10">
        <v>3024</v>
      </c>
      <c r="DG4" s="10">
        <v>3025</v>
      </c>
      <c r="DH4" s="10">
        <v>3026</v>
      </c>
      <c r="DI4" s="10">
        <v>3027</v>
      </c>
      <c r="DJ4" s="10">
        <v>3028</v>
      </c>
      <c r="DK4" s="10">
        <v>3029</v>
      </c>
      <c r="DL4" s="10">
        <v>3030</v>
      </c>
      <c r="DM4" s="10">
        <v>3201</v>
      </c>
      <c r="DN4" s="10">
        <v>3203</v>
      </c>
      <c r="DO4" s="10">
        <v>3204</v>
      </c>
      <c r="DP4" s="10">
        <v>3205</v>
      </c>
      <c r="DQ4" s="10">
        <v>3206</v>
      </c>
      <c r="DR4" s="10">
        <v>3207</v>
      </c>
      <c r="DS4" s="10">
        <v>3208</v>
      </c>
      <c r="DT4" s="10">
        <v>3209</v>
      </c>
      <c r="DU4" s="10">
        <v>4004</v>
      </c>
      <c r="DV4" s="10">
        <v>4006</v>
      </c>
      <c r="DW4" s="10">
        <v>4007</v>
      </c>
      <c r="DX4" s="10">
        <v>4019</v>
      </c>
      <c r="DY4" s="32">
        <v>7001</v>
      </c>
      <c r="DZ4" s="33">
        <v>7002</v>
      </c>
      <c r="EA4" s="33">
        <v>7003</v>
      </c>
      <c r="EB4" s="33">
        <v>7004</v>
      </c>
      <c r="EC4" s="33">
        <v>7005</v>
      </c>
      <c r="ED4" s="33">
        <v>7006</v>
      </c>
      <c r="EE4" s="33">
        <v>7007</v>
      </c>
      <c r="EF4" s="33">
        <v>7008</v>
      </c>
      <c r="EG4" s="33">
        <v>7010</v>
      </c>
      <c r="EH4" s="33">
        <v>7011</v>
      </c>
      <c r="EI4" s="33">
        <v>7012</v>
      </c>
      <c r="EJ4" s="33">
        <v>7013</v>
      </c>
      <c r="EK4" s="33">
        <v>7014</v>
      </c>
      <c r="EL4" s="34">
        <v>7015</v>
      </c>
      <c r="EM4" s="10">
        <v>5001</v>
      </c>
      <c r="EN4" s="10">
        <v>5002</v>
      </c>
      <c r="EO4" s="10">
        <v>5004</v>
      </c>
      <c r="EP4" s="10">
        <v>5005</v>
      </c>
      <c r="EQ4" s="10">
        <v>5006</v>
      </c>
      <c r="ER4" s="10">
        <v>5009</v>
      </c>
      <c r="ES4" s="10">
        <v>5010</v>
      </c>
      <c r="ET4" s="10">
        <v>5012</v>
      </c>
      <c r="EU4" s="10">
        <v>5013</v>
      </c>
      <c r="EV4" s="10">
        <v>5014</v>
      </c>
      <c r="EW4" s="10">
        <v>5016</v>
      </c>
      <c r="EX4" s="10">
        <v>5017</v>
      </c>
      <c r="EY4" s="10">
        <v>5019</v>
      </c>
      <c r="EZ4" s="10">
        <v>5020</v>
      </c>
      <c r="FA4" s="10">
        <v>5021</v>
      </c>
      <c r="FB4" s="10">
        <v>5023</v>
      </c>
      <c r="FC4" s="10">
        <v>5024</v>
      </c>
      <c r="FD4" s="10">
        <v>5026</v>
      </c>
      <c r="FE4" s="10">
        <v>5027</v>
      </c>
      <c r="FF4" s="10">
        <v>5028</v>
      </c>
      <c r="FG4" s="10">
        <v>5030</v>
      </c>
      <c r="FH4" s="10">
        <v>5031</v>
      </c>
      <c r="FI4" s="10">
        <v>5033</v>
      </c>
      <c r="FJ4" s="10">
        <v>5034</v>
      </c>
      <c r="FK4" s="10">
        <v>5036</v>
      </c>
    </row>
    <row r="5" spans="3:167" x14ac:dyDescent="0.2">
      <c r="C5" s="10">
        <f t="shared" ref="C5:C68" si="9">MIN(AF5:EL5)</f>
        <v>100</v>
      </c>
      <c r="D5" s="10">
        <f t="shared" ref="D5:D68" si="10">MAX(AF5:EL5)</f>
        <v>100</v>
      </c>
      <c r="E5" s="10" cm="1">
        <f t="array" ref="E5">gavg(AF5,EL5)</f>
        <v>99.999999999999247</v>
      </c>
      <c r="F5" s="10" cm="1">
        <f t="array" ref="F5">lnstdev(AF5,EL5)</f>
        <v>3.3336967971352115E-7</v>
      </c>
      <c r="G5" s="10">
        <f t="shared" ref="G5:G68" si="11">COUNT(AF5:EL5)</f>
        <v>111</v>
      </c>
      <c r="H5" s="10">
        <f t="shared" ref="H5:H68" si="12">MIN(AF5:AO5)</f>
        <v>100</v>
      </c>
      <c r="I5" s="10">
        <f t="shared" ref="I5:I68" si="13">MAX(AF5:AO5)</f>
        <v>100</v>
      </c>
      <c r="J5" s="10"/>
      <c r="K5" s="10"/>
      <c r="L5" s="10">
        <f t="shared" ref="L5:L68" si="14">COUNT(AF5:AO5)</f>
        <v>10</v>
      </c>
      <c r="M5" s="10">
        <f t="shared" ref="M5:M68" si="15">MIN(AP5:BL5)</f>
        <v>100</v>
      </c>
      <c r="N5" s="10">
        <f t="shared" ref="N5:N68" si="16">MAX(AP5:BL5)</f>
        <v>100</v>
      </c>
      <c r="O5" s="10">
        <f t="shared" ref="O5:O68" si="17">COUNT(AP5:BL5)</f>
        <v>23</v>
      </c>
      <c r="P5" s="10">
        <f t="shared" ref="P5:P68" si="18">MIN(BM5:CO5)</f>
        <v>100</v>
      </c>
      <c r="Q5" s="10">
        <f t="shared" ref="Q5:Q68" si="19">MAX(BM5:CO5)</f>
        <v>100</v>
      </c>
      <c r="R5" s="10">
        <f t="shared" ref="R5:R68" si="20">COUNT(BM5:CO5)</f>
        <v>29</v>
      </c>
      <c r="S5" s="10">
        <f t="shared" ref="S5:S68" si="21">MIN(CP5:DT5)</f>
        <v>100</v>
      </c>
      <c r="T5" s="10">
        <f t="shared" ref="T5:T68" si="22">MAX(CP5:DT5)</f>
        <v>100</v>
      </c>
      <c r="U5" s="10">
        <f t="shared" ref="U5:U68" si="23">COUNT(CP5:DT5)</f>
        <v>31</v>
      </c>
      <c r="V5" s="10">
        <f t="shared" si="0"/>
        <v>100</v>
      </c>
      <c r="W5" s="10">
        <f t="shared" si="1"/>
        <v>100</v>
      </c>
      <c r="X5" s="10">
        <f t="shared" si="2"/>
        <v>18</v>
      </c>
      <c r="Y5" s="10">
        <f t="shared" si="3"/>
        <v>100</v>
      </c>
      <c r="Z5" s="10">
        <f t="shared" si="4"/>
        <v>100</v>
      </c>
      <c r="AA5" s="10">
        <f t="shared" si="5"/>
        <v>4</v>
      </c>
      <c r="AB5" s="10">
        <f t="shared" si="6"/>
        <v>100</v>
      </c>
      <c r="AC5" s="10">
        <f t="shared" si="7"/>
        <v>100</v>
      </c>
      <c r="AD5" s="10">
        <f t="shared" si="8"/>
        <v>14</v>
      </c>
      <c r="AE5" t="s">
        <v>81</v>
      </c>
      <c r="AF5" s="10">
        <v>100</v>
      </c>
      <c r="AG5" s="10">
        <v>100</v>
      </c>
      <c r="AH5" s="10">
        <v>100</v>
      </c>
      <c r="AI5" s="10">
        <v>100</v>
      </c>
      <c r="AJ5" s="10">
        <v>100</v>
      </c>
      <c r="AK5" s="10">
        <v>100</v>
      </c>
      <c r="AL5" s="10">
        <v>100</v>
      </c>
      <c r="AM5" s="10">
        <v>100</v>
      </c>
      <c r="AN5" s="10">
        <v>100</v>
      </c>
      <c r="AO5" s="10">
        <v>100</v>
      </c>
      <c r="AP5" s="10">
        <v>100</v>
      </c>
      <c r="AQ5" s="10">
        <v>100</v>
      </c>
      <c r="AR5" s="10">
        <v>100</v>
      </c>
      <c r="AS5" s="10">
        <v>100</v>
      </c>
      <c r="AT5" s="10">
        <v>100</v>
      </c>
      <c r="AU5" s="10">
        <v>100</v>
      </c>
      <c r="AV5" s="10">
        <v>100</v>
      </c>
      <c r="AW5" s="10">
        <v>100</v>
      </c>
      <c r="AX5" s="10">
        <v>100</v>
      </c>
      <c r="AY5" s="10">
        <v>100</v>
      </c>
      <c r="AZ5" s="10">
        <v>100</v>
      </c>
      <c r="BA5" s="10">
        <v>100</v>
      </c>
      <c r="BB5" s="10">
        <v>100</v>
      </c>
      <c r="BC5" s="10">
        <v>100</v>
      </c>
      <c r="BD5" s="10">
        <v>100</v>
      </c>
      <c r="BE5" s="10">
        <v>100</v>
      </c>
      <c r="BF5" s="10">
        <v>100</v>
      </c>
      <c r="BG5" s="10">
        <v>100</v>
      </c>
      <c r="BH5" s="10">
        <v>100</v>
      </c>
      <c r="BI5" s="10">
        <v>100</v>
      </c>
      <c r="BJ5" s="10">
        <v>100</v>
      </c>
      <c r="BK5" s="10">
        <v>100</v>
      </c>
      <c r="BL5" s="10">
        <v>100</v>
      </c>
      <c r="BM5" s="10">
        <v>100</v>
      </c>
      <c r="BN5" s="10">
        <v>100</v>
      </c>
      <c r="BO5" s="10">
        <v>100</v>
      </c>
      <c r="BP5" s="10">
        <v>100</v>
      </c>
      <c r="BQ5" s="10">
        <v>100</v>
      </c>
      <c r="BR5" s="10">
        <v>100</v>
      </c>
      <c r="BS5" s="10">
        <v>100</v>
      </c>
      <c r="BT5" s="10">
        <v>100</v>
      </c>
      <c r="BU5" s="10">
        <v>100</v>
      </c>
      <c r="BV5" s="10">
        <v>100</v>
      </c>
      <c r="BW5" s="10">
        <v>100</v>
      </c>
      <c r="BX5" s="10">
        <v>100</v>
      </c>
      <c r="BY5" s="10">
        <v>100</v>
      </c>
      <c r="BZ5" s="10">
        <v>100</v>
      </c>
      <c r="CA5" s="10">
        <v>100</v>
      </c>
      <c r="CB5" s="10">
        <v>100</v>
      </c>
      <c r="CC5" s="10">
        <v>100</v>
      </c>
      <c r="CD5" s="10">
        <v>100</v>
      </c>
      <c r="CE5" s="10">
        <v>100</v>
      </c>
      <c r="CF5" s="10">
        <v>100</v>
      </c>
      <c r="CG5" s="10">
        <v>100</v>
      </c>
      <c r="CH5" s="10">
        <v>100</v>
      </c>
      <c r="CI5" s="10">
        <v>100</v>
      </c>
      <c r="CJ5" s="10">
        <v>100</v>
      </c>
      <c r="CK5" s="10">
        <v>100</v>
      </c>
      <c r="CL5" s="10">
        <v>100</v>
      </c>
      <c r="CM5" s="10">
        <v>100</v>
      </c>
      <c r="CN5" s="10">
        <v>100</v>
      </c>
      <c r="CO5" s="10">
        <v>100</v>
      </c>
      <c r="CP5" s="10">
        <v>100</v>
      </c>
      <c r="CQ5" s="10">
        <v>100</v>
      </c>
      <c r="CR5" s="10">
        <v>100</v>
      </c>
      <c r="CS5" s="10">
        <v>100</v>
      </c>
      <c r="CT5" s="10">
        <v>100</v>
      </c>
      <c r="CU5" s="10">
        <v>100</v>
      </c>
      <c r="CV5" s="10">
        <v>100</v>
      </c>
      <c r="CW5" s="10">
        <v>100</v>
      </c>
      <c r="CX5" s="10">
        <v>100</v>
      </c>
      <c r="CY5" s="10">
        <v>100</v>
      </c>
      <c r="CZ5" s="10">
        <v>100</v>
      </c>
      <c r="DA5" s="10">
        <v>100</v>
      </c>
      <c r="DB5" s="10">
        <v>100</v>
      </c>
      <c r="DC5" s="10">
        <v>100</v>
      </c>
      <c r="DD5" s="10">
        <v>100</v>
      </c>
      <c r="DE5" s="10">
        <v>100</v>
      </c>
      <c r="DF5" s="10">
        <v>100</v>
      </c>
      <c r="DG5" s="10">
        <v>100</v>
      </c>
      <c r="DH5" s="10">
        <v>100</v>
      </c>
      <c r="DI5" s="10">
        <v>100</v>
      </c>
      <c r="DJ5" s="10">
        <v>100</v>
      </c>
      <c r="DK5" s="10">
        <v>100</v>
      </c>
      <c r="DL5" s="10">
        <v>100</v>
      </c>
      <c r="DM5" s="10">
        <v>100</v>
      </c>
      <c r="DN5" s="10">
        <v>100</v>
      </c>
      <c r="DO5" s="10">
        <v>100</v>
      </c>
      <c r="DP5" s="10">
        <v>100</v>
      </c>
      <c r="DQ5" s="10">
        <v>100</v>
      </c>
      <c r="DR5" s="10">
        <v>100</v>
      </c>
      <c r="DS5" s="10">
        <v>100</v>
      </c>
      <c r="DT5" s="10">
        <v>100</v>
      </c>
      <c r="DU5" s="10">
        <v>100</v>
      </c>
      <c r="DV5" s="10">
        <v>100</v>
      </c>
      <c r="DW5" s="10">
        <v>100</v>
      </c>
      <c r="DX5" s="10">
        <v>100</v>
      </c>
      <c r="DY5" s="10">
        <v>100</v>
      </c>
      <c r="DZ5" s="10">
        <v>100</v>
      </c>
      <c r="EA5" s="10">
        <v>100</v>
      </c>
      <c r="EB5" s="10">
        <v>100</v>
      </c>
      <c r="EC5" s="10">
        <v>100</v>
      </c>
      <c r="ED5" s="10">
        <v>100</v>
      </c>
      <c r="EE5" s="10">
        <v>100</v>
      </c>
      <c r="EF5" s="10">
        <v>100</v>
      </c>
      <c r="EG5" s="10">
        <v>100</v>
      </c>
      <c r="EH5" s="10">
        <v>100</v>
      </c>
      <c r="EI5" s="10">
        <v>100</v>
      </c>
      <c r="EJ5" s="10">
        <v>100</v>
      </c>
      <c r="EK5" s="10">
        <v>100</v>
      </c>
      <c r="EL5" s="10">
        <v>100</v>
      </c>
      <c r="EM5" s="10">
        <v>1</v>
      </c>
      <c r="EN5" s="10">
        <v>1</v>
      </c>
      <c r="EO5" s="10">
        <v>1</v>
      </c>
      <c r="EP5" s="10">
        <v>1</v>
      </c>
      <c r="EQ5" s="10">
        <v>1</v>
      </c>
      <c r="ER5" s="10">
        <v>5</v>
      </c>
      <c r="ES5" s="10">
        <v>5</v>
      </c>
      <c r="ET5" s="10">
        <v>5</v>
      </c>
      <c r="EU5" s="10">
        <v>5</v>
      </c>
      <c r="EV5" s="10">
        <v>5</v>
      </c>
      <c r="EW5" s="10">
        <v>15</v>
      </c>
      <c r="EX5" s="10">
        <v>15</v>
      </c>
      <c r="EY5" s="10">
        <v>15</v>
      </c>
      <c r="EZ5" s="10">
        <v>15</v>
      </c>
      <c r="FA5" s="10">
        <v>15</v>
      </c>
      <c r="FB5" s="10">
        <v>25</v>
      </c>
      <c r="FC5" s="10">
        <v>25</v>
      </c>
      <c r="FD5" s="10">
        <v>25</v>
      </c>
      <c r="FE5" s="10">
        <v>25</v>
      </c>
      <c r="FF5" s="10">
        <v>25</v>
      </c>
      <c r="FG5" s="10">
        <v>52</v>
      </c>
      <c r="FH5" s="10">
        <v>52</v>
      </c>
      <c r="FI5" s="10">
        <v>52</v>
      </c>
      <c r="FJ5" s="10">
        <v>52</v>
      </c>
      <c r="FK5" s="10">
        <v>52</v>
      </c>
    </row>
    <row r="6" spans="3:167" x14ac:dyDescent="0.2">
      <c r="C6" s="10">
        <f t="shared" si="9"/>
        <v>11.99899959564209</v>
      </c>
      <c r="D6" s="10">
        <f t="shared" si="10"/>
        <v>140</v>
      </c>
      <c r="E6" s="10" cm="1">
        <f t="array" ref="E6">gavg(AF6,EL6)</f>
        <v>36.239607804875206</v>
      </c>
      <c r="F6" s="10" cm="1">
        <f t="array" ref="F6">lnstdev(AF6,EL6)</f>
        <v>0.57354293761239539</v>
      </c>
      <c r="G6" s="10">
        <f t="shared" si="11"/>
        <v>111</v>
      </c>
      <c r="H6" s="10">
        <f t="shared" si="12"/>
        <v>14.055</v>
      </c>
      <c r="I6" s="10">
        <f t="shared" si="13"/>
        <v>23.865002</v>
      </c>
      <c r="J6" s="10"/>
      <c r="K6" s="10"/>
      <c r="L6" s="10">
        <f t="shared" si="14"/>
        <v>10</v>
      </c>
      <c r="M6" s="10">
        <f t="shared" si="15"/>
        <v>11.99899959564209</v>
      </c>
      <c r="N6" s="10">
        <f t="shared" si="16"/>
        <v>33.363998413085938</v>
      </c>
      <c r="O6" s="10">
        <f t="shared" si="17"/>
        <v>23</v>
      </c>
      <c r="P6" s="10">
        <f t="shared" si="18"/>
        <v>18</v>
      </c>
      <c r="Q6" s="10">
        <f t="shared" si="19"/>
        <v>95</v>
      </c>
      <c r="R6" s="10">
        <f t="shared" si="20"/>
        <v>29</v>
      </c>
      <c r="S6" s="10">
        <f t="shared" si="21"/>
        <v>20</v>
      </c>
      <c r="T6" s="10">
        <f t="shared" si="22"/>
        <v>140</v>
      </c>
      <c r="U6" s="10">
        <f t="shared" si="23"/>
        <v>31</v>
      </c>
      <c r="V6" s="10">
        <f t="shared" si="0"/>
        <v>20</v>
      </c>
      <c r="W6" s="10">
        <f t="shared" si="1"/>
        <v>85</v>
      </c>
      <c r="X6" s="10">
        <f t="shared" si="2"/>
        <v>18</v>
      </c>
      <c r="Y6" s="10">
        <f t="shared" si="3"/>
        <v>20</v>
      </c>
      <c r="Z6" s="10">
        <f t="shared" si="4"/>
        <v>85</v>
      </c>
      <c r="AA6" s="10">
        <f t="shared" si="5"/>
        <v>4</v>
      </c>
      <c r="AB6" s="10">
        <f t="shared" si="6"/>
        <v>25</v>
      </c>
      <c r="AC6" s="10">
        <f t="shared" si="7"/>
        <v>60</v>
      </c>
      <c r="AD6" s="10">
        <f t="shared" si="8"/>
        <v>14</v>
      </c>
      <c r="AE6" t="s">
        <v>11</v>
      </c>
      <c r="AF6" s="10">
        <v>20.055</v>
      </c>
      <c r="AG6" s="10">
        <v>14.055</v>
      </c>
      <c r="AH6" s="10">
        <v>14.59</v>
      </c>
      <c r="AI6" s="10">
        <v>22.865002</v>
      </c>
      <c r="AJ6" s="10">
        <v>18.405000999999999</v>
      </c>
      <c r="AK6" s="10">
        <v>16.265001000000002</v>
      </c>
      <c r="AL6" s="10">
        <v>15.280001</v>
      </c>
      <c r="AM6" s="10">
        <v>15.92</v>
      </c>
      <c r="AN6" s="10">
        <v>23.865002</v>
      </c>
      <c r="AO6" s="10">
        <v>19.950001</v>
      </c>
      <c r="AP6" s="10">
        <v>16.673999786376953</v>
      </c>
      <c r="AQ6" s="10">
        <v>20.996999740600586</v>
      </c>
      <c r="AR6" s="10">
        <v>18.541000366210938</v>
      </c>
      <c r="AS6" s="10">
        <v>31.222000122070313</v>
      </c>
      <c r="AT6" s="10">
        <v>15.968999862670898</v>
      </c>
      <c r="AU6" s="10">
        <v>14.178999900817871</v>
      </c>
      <c r="AV6" s="10">
        <v>17.715999603271484</v>
      </c>
      <c r="AW6" s="10">
        <v>33.004001617431641</v>
      </c>
      <c r="AX6" s="10">
        <v>18.021999359130859</v>
      </c>
      <c r="AY6" s="10">
        <v>18.146999359130859</v>
      </c>
      <c r="AZ6" s="10">
        <v>20.180000305175781</v>
      </c>
      <c r="BA6" s="10">
        <v>18.25200080871582</v>
      </c>
      <c r="BB6" s="10">
        <v>18.839000701904297</v>
      </c>
      <c r="BC6" s="10">
        <v>17.590999603271484</v>
      </c>
      <c r="BD6" s="10">
        <v>23.479999542236328</v>
      </c>
      <c r="BE6" s="10">
        <v>33.363998413085938</v>
      </c>
      <c r="BF6" s="10">
        <v>18.115999221801758</v>
      </c>
      <c r="BG6" s="10">
        <v>18.400999069213867</v>
      </c>
      <c r="BH6" s="10">
        <v>24.438999176025391</v>
      </c>
      <c r="BI6" s="10">
        <v>18.188999176025391</v>
      </c>
      <c r="BJ6" s="10">
        <v>11.99899959564209</v>
      </c>
      <c r="BK6" s="10">
        <v>16.891000747680664</v>
      </c>
      <c r="BL6" s="10">
        <v>15.378999710083008</v>
      </c>
      <c r="BM6" s="10">
        <v>40</v>
      </c>
      <c r="BN6" s="10">
        <v>90</v>
      </c>
      <c r="BO6" s="10">
        <v>18</v>
      </c>
      <c r="BP6" s="10">
        <v>80</v>
      </c>
      <c r="BQ6" s="10">
        <v>95</v>
      </c>
      <c r="BR6" s="10">
        <v>65</v>
      </c>
      <c r="BS6" s="10">
        <v>55</v>
      </c>
      <c r="BT6" s="10">
        <v>70</v>
      </c>
      <c r="BU6" s="10">
        <v>60</v>
      </c>
      <c r="BV6" s="10">
        <v>65</v>
      </c>
      <c r="BW6" s="10">
        <v>43</v>
      </c>
      <c r="BX6" s="10">
        <v>45</v>
      </c>
      <c r="BY6" s="10">
        <v>65</v>
      </c>
      <c r="BZ6" s="10">
        <v>64</v>
      </c>
      <c r="CA6" s="10">
        <v>60</v>
      </c>
      <c r="CB6" s="10">
        <v>80</v>
      </c>
      <c r="CC6" s="10">
        <v>65</v>
      </c>
      <c r="CD6" s="10">
        <v>48</v>
      </c>
      <c r="CE6" s="10">
        <v>42</v>
      </c>
      <c r="CF6" s="10">
        <v>39</v>
      </c>
      <c r="CG6" s="10">
        <v>50</v>
      </c>
      <c r="CH6" s="10">
        <v>38</v>
      </c>
      <c r="CI6" s="10">
        <v>39</v>
      </c>
      <c r="CJ6" s="10">
        <v>42</v>
      </c>
      <c r="CK6" s="10">
        <v>45</v>
      </c>
      <c r="CL6" s="10">
        <v>72</v>
      </c>
      <c r="CM6" s="10">
        <v>37</v>
      </c>
      <c r="CN6" s="10">
        <v>36</v>
      </c>
      <c r="CO6" s="10">
        <v>43.5</v>
      </c>
      <c r="CP6" s="10">
        <v>130</v>
      </c>
      <c r="CQ6" s="10">
        <v>50</v>
      </c>
      <c r="CR6" s="10">
        <v>40</v>
      </c>
      <c r="CS6" s="10">
        <v>50</v>
      </c>
      <c r="CT6" s="10">
        <v>40</v>
      </c>
      <c r="CU6" s="10">
        <v>40</v>
      </c>
      <c r="CV6" s="10">
        <v>55</v>
      </c>
      <c r="CW6" s="10">
        <v>70</v>
      </c>
      <c r="CX6" s="10">
        <v>44</v>
      </c>
      <c r="CY6" s="10">
        <v>40</v>
      </c>
      <c r="CZ6" s="10">
        <v>40</v>
      </c>
      <c r="DA6" s="10">
        <v>75</v>
      </c>
      <c r="DB6" s="10">
        <v>35</v>
      </c>
      <c r="DC6" s="10">
        <v>43</v>
      </c>
      <c r="DD6" s="10">
        <v>50</v>
      </c>
      <c r="DE6" s="10">
        <v>110</v>
      </c>
      <c r="DF6" s="10">
        <v>41</v>
      </c>
      <c r="DG6" s="10">
        <v>65</v>
      </c>
      <c r="DH6" s="10">
        <v>38</v>
      </c>
      <c r="DI6" s="10">
        <v>23</v>
      </c>
      <c r="DJ6" s="10">
        <v>32</v>
      </c>
      <c r="DK6" s="10">
        <v>37</v>
      </c>
      <c r="DL6" s="10">
        <v>55</v>
      </c>
      <c r="DM6" s="10">
        <v>140</v>
      </c>
      <c r="DN6" s="10">
        <v>100</v>
      </c>
      <c r="DO6" s="10">
        <v>120</v>
      </c>
      <c r="DP6" s="10">
        <v>40</v>
      </c>
      <c r="DQ6" s="10">
        <v>90</v>
      </c>
      <c r="DR6" s="10">
        <v>55</v>
      </c>
      <c r="DS6" s="10">
        <v>25</v>
      </c>
      <c r="DT6" s="10">
        <v>20</v>
      </c>
      <c r="DU6" s="10">
        <v>40</v>
      </c>
      <c r="DV6" s="10">
        <v>20</v>
      </c>
      <c r="DW6" s="10">
        <v>85</v>
      </c>
      <c r="DX6" s="10">
        <v>42</v>
      </c>
      <c r="DY6" s="10">
        <v>50</v>
      </c>
      <c r="DZ6" s="10">
        <v>60</v>
      </c>
      <c r="EA6" s="10">
        <v>45</v>
      </c>
      <c r="EB6" s="10">
        <v>60</v>
      </c>
      <c r="EC6" s="10">
        <v>35</v>
      </c>
      <c r="ED6" s="10">
        <v>30</v>
      </c>
      <c r="EE6" s="10">
        <v>25</v>
      </c>
      <c r="EF6" s="10">
        <v>30</v>
      </c>
      <c r="EG6" s="10">
        <v>27</v>
      </c>
      <c r="EH6" s="10">
        <v>27</v>
      </c>
      <c r="EI6" s="10">
        <v>40</v>
      </c>
      <c r="EJ6" s="10">
        <v>34</v>
      </c>
      <c r="EK6" s="10">
        <v>35</v>
      </c>
      <c r="EL6" s="10">
        <v>30</v>
      </c>
      <c r="EM6" s="10">
        <v>40</v>
      </c>
      <c r="EN6" s="10">
        <v>39</v>
      </c>
      <c r="EO6" s="10">
        <v>35</v>
      </c>
      <c r="EP6" s="10">
        <v>45</v>
      </c>
      <c r="EQ6" s="10">
        <v>45</v>
      </c>
      <c r="ER6" s="10">
        <v>50</v>
      </c>
      <c r="ES6" s="10">
        <v>40</v>
      </c>
      <c r="ET6" s="10">
        <v>25</v>
      </c>
      <c r="EU6" s="10">
        <v>32</v>
      </c>
      <c r="EV6" s="10">
        <v>32</v>
      </c>
      <c r="EW6" s="10">
        <v>40</v>
      </c>
      <c r="EX6" s="10">
        <v>42</v>
      </c>
      <c r="EY6" s="10">
        <v>50</v>
      </c>
      <c r="EZ6" s="10">
        <v>40</v>
      </c>
      <c r="FA6" s="10">
        <v>48</v>
      </c>
      <c r="FB6" s="10">
        <v>50</v>
      </c>
      <c r="FC6" s="10">
        <v>22</v>
      </c>
      <c r="FD6" s="10">
        <v>30</v>
      </c>
      <c r="FE6" s="10">
        <v>25</v>
      </c>
      <c r="FF6" s="10">
        <v>35</v>
      </c>
      <c r="FG6" s="10">
        <v>35</v>
      </c>
      <c r="FH6" s="10">
        <v>25</v>
      </c>
      <c r="FI6" s="10">
        <v>25</v>
      </c>
      <c r="FJ6" s="10">
        <v>25</v>
      </c>
      <c r="FK6" s="10">
        <v>25</v>
      </c>
    </row>
    <row r="7" spans="3:167" x14ac:dyDescent="0.2">
      <c r="C7" s="10">
        <f t="shared" si="9"/>
        <v>25.806999206542969</v>
      </c>
      <c r="D7" s="10">
        <f t="shared" si="10"/>
        <v>329.947998046875</v>
      </c>
      <c r="E7" s="10" cm="1">
        <f t="array" ref="E7">gavg(AF7,EL7)</f>
        <v>77.894271765250082</v>
      </c>
      <c r="F7" s="10" cm="1">
        <f t="array" ref="F7">lnstdev(AF7,EL7)</f>
        <v>0.60106127686811639</v>
      </c>
      <c r="G7" s="10">
        <f t="shared" si="11"/>
        <v>111</v>
      </c>
      <c r="H7" s="10">
        <f t="shared" si="12"/>
        <v>139.96501000000001</v>
      </c>
      <c r="I7" s="10">
        <f t="shared" si="13"/>
        <v>289.96503000000001</v>
      </c>
      <c r="J7" s="10"/>
      <c r="K7" s="10"/>
      <c r="L7" s="10">
        <f t="shared" si="14"/>
        <v>10</v>
      </c>
      <c r="M7" s="10">
        <f t="shared" si="15"/>
        <v>25.806999206542969</v>
      </c>
      <c r="N7" s="10">
        <f t="shared" si="16"/>
        <v>329.947998046875</v>
      </c>
      <c r="O7" s="10">
        <f t="shared" si="17"/>
        <v>23</v>
      </c>
      <c r="P7" s="10">
        <f t="shared" si="18"/>
        <v>28</v>
      </c>
      <c r="Q7" s="10">
        <f t="shared" si="19"/>
        <v>120</v>
      </c>
      <c r="R7" s="10">
        <f t="shared" si="20"/>
        <v>29</v>
      </c>
      <c r="S7" s="10">
        <f t="shared" si="21"/>
        <v>38</v>
      </c>
      <c r="T7" s="10">
        <f t="shared" si="22"/>
        <v>240</v>
      </c>
      <c r="U7" s="10">
        <f t="shared" si="23"/>
        <v>31</v>
      </c>
      <c r="V7" s="10">
        <f t="shared" si="0"/>
        <v>40</v>
      </c>
      <c r="W7" s="10">
        <f t="shared" si="1"/>
        <v>150</v>
      </c>
      <c r="X7" s="10">
        <f t="shared" si="2"/>
        <v>18</v>
      </c>
      <c r="Y7" s="10">
        <f t="shared" si="3"/>
        <v>62</v>
      </c>
      <c r="Z7" s="10">
        <f t="shared" si="4"/>
        <v>112</v>
      </c>
      <c r="AA7" s="10">
        <f t="shared" si="5"/>
        <v>4</v>
      </c>
      <c r="AB7" s="10">
        <f t="shared" si="6"/>
        <v>40</v>
      </c>
      <c r="AC7" s="10">
        <f t="shared" si="7"/>
        <v>150</v>
      </c>
      <c r="AD7" s="10">
        <f t="shared" si="8"/>
        <v>14</v>
      </c>
      <c r="AE7" t="s">
        <v>12</v>
      </c>
      <c r="AF7" s="10">
        <v>289.96503000000001</v>
      </c>
      <c r="AG7" s="10">
        <v>289.96503000000001</v>
      </c>
      <c r="AH7" s="10">
        <v>289.96001999999999</v>
      </c>
      <c r="AI7" s="10">
        <v>289.96503000000001</v>
      </c>
      <c r="AJ7" s="10">
        <v>229.96501000000001</v>
      </c>
      <c r="AK7" s="10">
        <v>189.96501000000001</v>
      </c>
      <c r="AL7" s="10">
        <v>169.96501000000001</v>
      </c>
      <c r="AM7" s="10">
        <v>169.96501000000001</v>
      </c>
      <c r="AN7" s="10">
        <v>139.96501000000001</v>
      </c>
      <c r="AO7" s="10">
        <v>139.96501000000001</v>
      </c>
      <c r="AP7" s="10">
        <v>329.947998046875</v>
      </c>
      <c r="AQ7" s="10">
        <v>213.94200134277344</v>
      </c>
      <c r="AR7" s="10">
        <v>170.84199523925781</v>
      </c>
      <c r="AS7" s="10">
        <v>133.0989990234375</v>
      </c>
      <c r="AT7" s="10">
        <v>94.152000427246094</v>
      </c>
      <c r="AU7" s="10">
        <v>76.78900146484375</v>
      </c>
      <c r="AV7" s="10">
        <v>66.852996826171875</v>
      </c>
      <c r="AW7" s="10">
        <v>74.943000793457031</v>
      </c>
      <c r="AX7" s="10">
        <v>57.619998931884766</v>
      </c>
      <c r="AY7" s="10">
        <v>48.356998443603516</v>
      </c>
      <c r="AZ7" s="10">
        <v>45.713001251220703</v>
      </c>
      <c r="BA7" s="10">
        <v>38.895000457763672</v>
      </c>
      <c r="BB7" s="10">
        <v>36.923000335693359</v>
      </c>
      <c r="BC7" s="10">
        <v>31.219999313354492</v>
      </c>
      <c r="BD7" s="10">
        <v>36.672000885009766</v>
      </c>
      <c r="BE7" s="10">
        <v>43.432998657226563</v>
      </c>
      <c r="BF7" s="10">
        <v>27.858999252319336</v>
      </c>
      <c r="BG7" s="10">
        <v>25.806999206542969</v>
      </c>
      <c r="BH7" s="10">
        <v>36.743000030517578</v>
      </c>
      <c r="BI7" s="10">
        <v>271.18301391601563</v>
      </c>
      <c r="BJ7" s="10">
        <v>172.21200561523438</v>
      </c>
      <c r="BK7" s="10">
        <v>219.52099609375</v>
      </c>
      <c r="BL7" s="10">
        <v>120.96299743652344</v>
      </c>
      <c r="BM7" s="10">
        <v>80</v>
      </c>
      <c r="BN7" s="10">
        <v>100</v>
      </c>
      <c r="BO7" s="10">
        <v>28</v>
      </c>
      <c r="BP7" s="10">
        <v>100</v>
      </c>
      <c r="BQ7" s="10">
        <v>120</v>
      </c>
      <c r="BR7" s="10">
        <v>80</v>
      </c>
      <c r="BS7" s="10">
        <v>85</v>
      </c>
      <c r="BT7" s="10">
        <v>80</v>
      </c>
      <c r="BU7" s="10">
        <v>80</v>
      </c>
      <c r="BV7" s="10">
        <v>85</v>
      </c>
      <c r="BW7" s="10">
        <v>60</v>
      </c>
      <c r="BX7" s="10">
        <v>60</v>
      </c>
      <c r="BY7" s="10">
        <v>80</v>
      </c>
      <c r="BZ7" s="10">
        <v>76</v>
      </c>
      <c r="CA7" s="10">
        <v>65</v>
      </c>
      <c r="CB7" s="10">
        <v>90</v>
      </c>
      <c r="CC7" s="10">
        <v>69</v>
      </c>
      <c r="CD7" s="10">
        <v>62</v>
      </c>
      <c r="CE7" s="10">
        <v>57</v>
      </c>
      <c r="CF7" s="10">
        <v>52</v>
      </c>
      <c r="CG7" s="10">
        <v>59</v>
      </c>
      <c r="CH7" s="10">
        <v>47</v>
      </c>
      <c r="CI7" s="10">
        <v>47</v>
      </c>
      <c r="CJ7" s="10">
        <v>49</v>
      </c>
      <c r="CK7" s="10">
        <v>50</v>
      </c>
      <c r="CL7" s="10">
        <v>79</v>
      </c>
      <c r="CM7" s="10">
        <v>42</v>
      </c>
      <c r="CN7" s="10">
        <v>39</v>
      </c>
      <c r="CO7" s="10">
        <v>46.5</v>
      </c>
      <c r="CP7" s="10">
        <v>190</v>
      </c>
      <c r="CQ7" s="10">
        <v>100</v>
      </c>
      <c r="CR7" s="10">
        <v>65</v>
      </c>
      <c r="CS7" s="10">
        <v>80</v>
      </c>
      <c r="CT7" s="10">
        <v>70</v>
      </c>
      <c r="CU7" s="10">
        <v>65</v>
      </c>
      <c r="CV7" s="10">
        <v>75</v>
      </c>
      <c r="CW7" s="10">
        <v>90</v>
      </c>
      <c r="CX7" s="10">
        <v>59</v>
      </c>
      <c r="CY7" s="10">
        <v>50</v>
      </c>
      <c r="CZ7" s="10">
        <v>55</v>
      </c>
      <c r="DA7" s="10">
        <v>85</v>
      </c>
      <c r="DB7" s="10">
        <v>48</v>
      </c>
      <c r="DC7" s="10">
        <v>50</v>
      </c>
      <c r="DD7" s="10">
        <v>63</v>
      </c>
      <c r="DE7" s="10">
        <v>170</v>
      </c>
      <c r="DF7" s="10">
        <v>160</v>
      </c>
      <c r="DG7" s="10">
        <v>95</v>
      </c>
      <c r="DH7" s="10">
        <v>50</v>
      </c>
      <c r="DI7" s="10">
        <v>38</v>
      </c>
      <c r="DJ7" s="10">
        <v>40</v>
      </c>
      <c r="DK7" s="10">
        <v>50</v>
      </c>
      <c r="DL7" s="10">
        <v>60</v>
      </c>
      <c r="DM7" s="10">
        <v>240</v>
      </c>
      <c r="DN7" s="10">
        <v>150</v>
      </c>
      <c r="DO7" s="10">
        <v>170</v>
      </c>
      <c r="DP7" s="10">
        <v>80</v>
      </c>
      <c r="DQ7" s="10">
        <v>140</v>
      </c>
      <c r="DR7" s="10">
        <v>75</v>
      </c>
      <c r="DS7" s="10">
        <v>40</v>
      </c>
      <c r="DT7" s="10">
        <v>45</v>
      </c>
      <c r="DU7" s="10">
        <v>70</v>
      </c>
      <c r="DV7" s="10">
        <v>103.6</v>
      </c>
      <c r="DW7" s="10">
        <v>112</v>
      </c>
      <c r="DX7" s="10">
        <v>62</v>
      </c>
      <c r="DY7" s="10">
        <v>150</v>
      </c>
      <c r="DZ7" s="10">
        <v>90</v>
      </c>
      <c r="EA7" s="10">
        <v>85</v>
      </c>
      <c r="EB7" s="10">
        <v>80</v>
      </c>
      <c r="EC7" s="10">
        <v>65</v>
      </c>
      <c r="ED7" s="10">
        <v>55</v>
      </c>
      <c r="EE7" s="10">
        <v>40</v>
      </c>
      <c r="EF7" s="10">
        <v>40</v>
      </c>
      <c r="EG7" s="10">
        <v>40</v>
      </c>
      <c r="EH7" s="10">
        <v>45</v>
      </c>
      <c r="EI7" s="10">
        <v>50</v>
      </c>
      <c r="EJ7" s="10">
        <v>47</v>
      </c>
      <c r="EK7" s="10">
        <v>50</v>
      </c>
      <c r="EL7" s="10">
        <v>50</v>
      </c>
      <c r="EM7" s="10">
        <v>120</v>
      </c>
      <c r="EN7" s="10">
        <v>111</v>
      </c>
      <c r="EO7" s="10">
        <v>68</v>
      </c>
      <c r="EP7" s="10">
        <v>67</v>
      </c>
      <c r="EQ7" s="10">
        <v>65</v>
      </c>
      <c r="ER7" s="10">
        <v>110</v>
      </c>
      <c r="ES7" s="10">
        <v>110</v>
      </c>
      <c r="ET7" s="10">
        <v>60</v>
      </c>
      <c r="EU7" s="10">
        <v>53</v>
      </c>
      <c r="EV7" s="10">
        <v>52</v>
      </c>
      <c r="EW7" s="10">
        <v>90</v>
      </c>
      <c r="EX7" s="10">
        <v>117</v>
      </c>
      <c r="EY7" s="10">
        <v>80</v>
      </c>
      <c r="EZ7" s="10">
        <v>60</v>
      </c>
      <c r="FA7" s="10">
        <v>64</v>
      </c>
      <c r="FB7" s="10">
        <v>180</v>
      </c>
      <c r="FC7" s="10">
        <v>106</v>
      </c>
      <c r="FD7" s="10">
        <v>65</v>
      </c>
      <c r="FE7" s="10">
        <v>50</v>
      </c>
      <c r="FF7" s="10">
        <v>55</v>
      </c>
      <c r="FG7" s="10">
        <v>195</v>
      </c>
      <c r="FH7" s="10">
        <v>108</v>
      </c>
      <c r="FI7" s="10">
        <v>55</v>
      </c>
      <c r="FJ7" s="10">
        <v>50</v>
      </c>
      <c r="FK7" s="10">
        <v>45</v>
      </c>
    </row>
    <row r="8" spans="3:167" x14ac:dyDescent="0.2">
      <c r="C8" s="10">
        <f t="shared" si="9"/>
        <v>2811</v>
      </c>
      <c r="D8" s="10">
        <f t="shared" si="10"/>
        <v>168045</v>
      </c>
      <c r="E8" s="10" cm="1">
        <f t="array" ref="E8">gavg(AF8,EL8)</f>
        <v>35639.863679962706</v>
      </c>
      <c r="F8" s="10" cm="1">
        <f t="array" ref="F8">lnstdev(AF8,EL8)</f>
        <v>0.93097280212156808</v>
      </c>
      <c r="G8" s="10">
        <f t="shared" si="11"/>
        <v>111</v>
      </c>
      <c r="H8" s="10">
        <f t="shared" si="12"/>
        <v>2811</v>
      </c>
      <c r="I8" s="10">
        <f t="shared" si="13"/>
        <v>4773</v>
      </c>
      <c r="J8" s="10"/>
      <c r="K8" s="10"/>
      <c r="L8" s="10">
        <f t="shared" si="14"/>
        <v>10</v>
      </c>
      <c r="M8" s="10">
        <f t="shared" si="15"/>
        <v>11999</v>
      </c>
      <c r="N8" s="10">
        <f t="shared" si="16"/>
        <v>33364</v>
      </c>
      <c r="O8" s="10">
        <f t="shared" si="17"/>
        <v>23</v>
      </c>
      <c r="P8" s="10">
        <f t="shared" si="18"/>
        <v>21606</v>
      </c>
      <c r="Q8" s="10">
        <f t="shared" si="19"/>
        <v>114031</v>
      </c>
      <c r="R8" s="10">
        <f t="shared" si="20"/>
        <v>29</v>
      </c>
      <c r="S8" s="10">
        <f t="shared" si="21"/>
        <v>24006</v>
      </c>
      <c r="T8" s="10">
        <f t="shared" si="22"/>
        <v>168045</v>
      </c>
      <c r="U8" s="10">
        <f t="shared" si="23"/>
        <v>31</v>
      </c>
      <c r="V8" s="10">
        <f t="shared" si="0"/>
        <v>24006</v>
      </c>
      <c r="W8" s="10">
        <f t="shared" si="1"/>
        <v>102027</v>
      </c>
      <c r="X8" s="10">
        <f t="shared" si="2"/>
        <v>18</v>
      </c>
      <c r="Y8" s="10">
        <f t="shared" si="3"/>
        <v>24006</v>
      </c>
      <c r="Z8" s="10">
        <f t="shared" si="4"/>
        <v>102027</v>
      </c>
      <c r="AA8" s="10">
        <f t="shared" si="5"/>
        <v>4</v>
      </c>
      <c r="AB8" s="10">
        <f t="shared" si="6"/>
        <v>30008</v>
      </c>
      <c r="AC8" s="10">
        <f t="shared" si="7"/>
        <v>72019</v>
      </c>
      <c r="AD8" s="10">
        <f t="shared" si="8"/>
        <v>14</v>
      </c>
      <c r="AE8" t="s">
        <v>82</v>
      </c>
      <c r="AF8" s="10">
        <v>4011</v>
      </c>
      <c r="AG8" s="10">
        <v>2811</v>
      </c>
      <c r="AH8" s="10">
        <v>2918</v>
      </c>
      <c r="AI8" s="10">
        <v>4573</v>
      </c>
      <c r="AJ8" s="10">
        <v>3681</v>
      </c>
      <c r="AK8" s="10">
        <v>3253</v>
      </c>
      <c r="AL8" s="10">
        <v>3056</v>
      </c>
      <c r="AM8" s="10">
        <v>3184</v>
      </c>
      <c r="AN8" s="10">
        <v>4773</v>
      </c>
      <c r="AO8" s="10">
        <v>3990</v>
      </c>
      <c r="AP8" s="10">
        <v>16674</v>
      </c>
      <c r="AQ8" s="10">
        <v>20997</v>
      </c>
      <c r="AR8" s="10">
        <v>18541</v>
      </c>
      <c r="AS8" s="10">
        <v>31222</v>
      </c>
      <c r="AT8" s="10">
        <v>15969</v>
      </c>
      <c r="AU8" s="10">
        <v>14179</v>
      </c>
      <c r="AV8" s="10">
        <v>17716</v>
      </c>
      <c r="AW8" s="10">
        <v>33004</v>
      </c>
      <c r="AX8" s="10">
        <v>18022</v>
      </c>
      <c r="AY8" s="10">
        <v>18147</v>
      </c>
      <c r="AZ8" s="10">
        <v>20180</v>
      </c>
      <c r="BA8" s="10">
        <v>18252</v>
      </c>
      <c r="BB8" s="10">
        <v>18839</v>
      </c>
      <c r="BC8" s="10">
        <v>17591</v>
      </c>
      <c r="BD8" s="10">
        <v>23480</v>
      </c>
      <c r="BE8" s="10">
        <v>33364</v>
      </c>
      <c r="BF8" s="10">
        <v>18116</v>
      </c>
      <c r="BG8" s="10">
        <v>18401</v>
      </c>
      <c r="BH8" s="10">
        <v>24439</v>
      </c>
      <c r="BI8" s="10">
        <v>18189</v>
      </c>
      <c r="BJ8" s="10">
        <v>11999</v>
      </c>
      <c r="BK8" s="10">
        <v>16891</v>
      </c>
      <c r="BL8" s="10">
        <v>15379</v>
      </c>
      <c r="BM8" s="10">
        <v>48013</v>
      </c>
      <c r="BN8" s="10">
        <v>108029</v>
      </c>
      <c r="BO8" s="10">
        <v>21606</v>
      </c>
      <c r="BP8" s="10">
        <v>96026</v>
      </c>
      <c r="BQ8" s="10">
        <v>114031</v>
      </c>
      <c r="BR8" s="10">
        <v>78021</v>
      </c>
      <c r="BS8" s="10">
        <v>66018</v>
      </c>
      <c r="BT8" s="10">
        <v>84023</v>
      </c>
      <c r="BU8" s="10">
        <v>72019</v>
      </c>
      <c r="BV8" s="10">
        <v>78021</v>
      </c>
      <c r="BW8" s="10">
        <v>51614</v>
      </c>
      <c r="BX8" s="10">
        <v>54015</v>
      </c>
      <c r="BY8" s="10">
        <v>78021</v>
      </c>
      <c r="BZ8" s="10">
        <v>76820</v>
      </c>
      <c r="CA8" s="10">
        <v>72019</v>
      </c>
      <c r="CB8" s="10">
        <v>96026</v>
      </c>
      <c r="CC8" s="10">
        <v>78021</v>
      </c>
      <c r="CD8" s="10">
        <v>57615</v>
      </c>
      <c r="CE8" s="10">
        <v>50413</v>
      </c>
      <c r="CF8" s="10">
        <v>46813</v>
      </c>
      <c r="CG8" s="10">
        <v>60016</v>
      </c>
      <c r="CH8" s="10">
        <v>45612</v>
      </c>
      <c r="CI8" s="10">
        <v>46812</v>
      </c>
      <c r="CJ8" s="10">
        <v>50414</v>
      </c>
      <c r="CK8" s="10">
        <v>54014</v>
      </c>
      <c r="CL8" s="10">
        <v>86423</v>
      </c>
      <c r="CM8" s="10">
        <v>44412</v>
      </c>
      <c r="CN8" s="10">
        <v>43212</v>
      </c>
      <c r="CO8" s="10">
        <v>52214</v>
      </c>
      <c r="CP8" s="10">
        <v>156042</v>
      </c>
      <c r="CQ8" s="10">
        <v>60016</v>
      </c>
      <c r="CR8" s="10">
        <v>48013</v>
      </c>
      <c r="CS8" s="10">
        <v>60016</v>
      </c>
      <c r="CT8" s="10">
        <v>48013</v>
      </c>
      <c r="CU8" s="10">
        <v>48013</v>
      </c>
      <c r="CV8" s="10">
        <v>66018</v>
      </c>
      <c r="CW8" s="10">
        <v>84022</v>
      </c>
      <c r="CX8" s="10">
        <v>52814</v>
      </c>
      <c r="CY8" s="10">
        <v>48013</v>
      </c>
      <c r="CZ8" s="10">
        <v>48013</v>
      </c>
      <c r="DA8" s="10">
        <v>90024</v>
      </c>
      <c r="DB8" s="10">
        <v>42011</v>
      </c>
      <c r="DC8" s="10">
        <v>51614</v>
      </c>
      <c r="DD8" s="10">
        <v>60016</v>
      </c>
      <c r="DE8" s="10">
        <v>132036</v>
      </c>
      <c r="DF8" s="10">
        <v>49213</v>
      </c>
      <c r="DG8" s="10">
        <v>78021</v>
      </c>
      <c r="DH8" s="10">
        <v>45612</v>
      </c>
      <c r="DI8" s="10">
        <v>27607</v>
      </c>
      <c r="DJ8" s="10">
        <v>38410</v>
      </c>
      <c r="DK8" s="10">
        <v>44412</v>
      </c>
      <c r="DL8" s="10">
        <v>66018</v>
      </c>
      <c r="DM8" s="10">
        <v>168045</v>
      </c>
      <c r="DN8" s="10">
        <v>120033</v>
      </c>
      <c r="DO8" s="10">
        <v>144039</v>
      </c>
      <c r="DP8" s="10">
        <v>48013</v>
      </c>
      <c r="DQ8" s="10">
        <v>108029</v>
      </c>
      <c r="DR8" s="10">
        <v>66018</v>
      </c>
      <c r="DS8" s="10">
        <v>30008</v>
      </c>
      <c r="DT8" s="10">
        <v>24006</v>
      </c>
      <c r="DU8" s="10">
        <v>48013</v>
      </c>
      <c r="DV8" s="10">
        <v>24006</v>
      </c>
      <c r="DW8" s="10">
        <v>102027</v>
      </c>
      <c r="DX8" s="10">
        <v>50414</v>
      </c>
      <c r="DY8" s="10">
        <v>60016</v>
      </c>
      <c r="DZ8" s="10">
        <v>72019</v>
      </c>
      <c r="EA8" s="10">
        <v>54014</v>
      </c>
      <c r="EB8" s="10">
        <v>72019</v>
      </c>
      <c r="EC8" s="10">
        <v>42011</v>
      </c>
      <c r="ED8" s="10">
        <v>36010</v>
      </c>
      <c r="EE8" s="10">
        <v>30008</v>
      </c>
      <c r="EF8" s="10">
        <v>36010</v>
      </c>
      <c r="EG8" s="10">
        <v>32409</v>
      </c>
      <c r="EH8" s="10">
        <v>32409</v>
      </c>
      <c r="EI8" s="10">
        <v>48013</v>
      </c>
      <c r="EJ8" s="10">
        <v>40811</v>
      </c>
      <c r="EK8" s="10">
        <v>42012</v>
      </c>
      <c r="EL8" s="10">
        <v>36010</v>
      </c>
      <c r="EM8" s="10">
        <v>48013</v>
      </c>
      <c r="EN8" s="10">
        <v>46812</v>
      </c>
      <c r="EO8" s="10">
        <v>42011</v>
      </c>
      <c r="EP8" s="10">
        <v>54015</v>
      </c>
      <c r="EQ8" s="10">
        <v>54014</v>
      </c>
      <c r="ER8" s="10">
        <v>60016</v>
      </c>
      <c r="ES8" s="10">
        <v>48013</v>
      </c>
      <c r="ET8" s="10">
        <v>30008</v>
      </c>
      <c r="EU8" s="10">
        <v>38410</v>
      </c>
      <c r="EV8" s="10">
        <v>38410</v>
      </c>
      <c r="EW8" s="10">
        <v>48013</v>
      </c>
      <c r="EX8" s="10">
        <v>50413</v>
      </c>
      <c r="EY8" s="10">
        <v>60016</v>
      </c>
      <c r="EZ8" s="10">
        <v>48012</v>
      </c>
      <c r="FA8" s="10">
        <v>57615</v>
      </c>
      <c r="FB8" s="10">
        <v>60016</v>
      </c>
      <c r="FC8" s="10">
        <v>26407</v>
      </c>
      <c r="FD8" s="10">
        <v>36010</v>
      </c>
      <c r="FE8" s="10">
        <v>30008</v>
      </c>
      <c r="FF8" s="10">
        <v>42011</v>
      </c>
      <c r="FG8" s="10">
        <v>42011</v>
      </c>
      <c r="FH8" s="10">
        <v>30008</v>
      </c>
      <c r="FI8" s="10">
        <v>30008</v>
      </c>
      <c r="FJ8" s="10">
        <v>30008</v>
      </c>
      <c r="FK8" s="10">
        <v>30008</v>
      </c>
    </row>
    <row r="9" spans="3:167" x14ac:dyDescent="0.2">
      <c r="C9" s="10">
        <f t="shared" si="9"/>
        <v>25807</v>
      </c>
      <c r="D9" s="10">
        <f t="shared" si="10"/>
        <v>329948</v>
      </c>
      <c r="E9" s="10" cm="1">
        <f t="array" ref="E9">gavg(AF9,EL9)</f>
        <v>76605.130154551531</v>
      </c>
      <c r="F9" s="10" cm="1">
        <f t="array" ref="F9">lnstdev(AF9,EL9)</f>
        <v>0.54542677146461704</v>
      </c>
      <c r="G9" s="10">
        <f t="shared" si="11"/>
        <v>111</v>
      </c>
      <c r="H9" s="10">
        <f t="shared" si="12"/>
        <v>27993</v>
      </c>
      <c r="I9" s="10">
        <f t="shared" si="13"/>
        <v>57993</v>
      </c>
      <c r="J9" s="10"/>
      <c r="K9" s="10"/>
      <c r="L9" s="10">
        <f t="shared" si="14"/>
        <v>10</v>
      </c>
      <c r="M9" s="10">
        <f t="shared" si="15"/>
        <v>25807</v>
      </c>
      <c r="N9" s="10">
        <f t="shared" si="16"/>
        <v>329948</v>
      </c>
      <c r="O9" s="10">
        <f t="shared" si="17"/>
        <v>23</v>
      </c>
      <c r="P9" s="10">
        <f t="shared" si="18"/>
        <v>33609</v>
      </c>
      <c r="Q9" s="10">
        <f t="shared" si="19"/>
        <v>144039</v>
      </c>
      <c r="R9" s="10">
        <f t="shared" si="20"/>
        <v>29</v>
      </c>
      <c r="S9" s="10">
        <f t="shared" si="21"/>
        <v>45612</v>
      </c>
      <c r="T9" s="10">
        <f t="shared" si="22"/>
        <v>288078</v>
      </c>
      <c r="U9" s="10">
        <f t="shared" si="23"/>
        <v>31</v>
      </c>
      <c r="V9" s="10">
        <f t="shared" si="0"/>
        <v>48013</v>
      </c>
      <c r="W9" s="10">
        <f t="shared" si="1"/>
        <v>180048</v>
      </c>
      <c r="X9" s="10">
        <f t="shared" si="2"/>
        <v>18</v>
      </c>
      <c r="Y9" s="10">
        <f t="shared" si="3"/>
        <v>74420</v>
      </c>
      <c r="Z9" s="10">
        <f t="shared" si="4"/>
        <v>134436</v>
      </c>
      <c r="AA9" s="10">
        <f t="shared" si="5"/>
        <v>4</v>
      </c>
      <c r="AB9" s="10">
        <f t="shared" si="6"/>
        <v>48013</v>
      </c>
      <c r="AC9" s="10">
        <f t="shared" si="7"/>
        <v>180048</v>
      </c>
      <c r="AD9" s="10">
        <f t="shared" si="8"/>
        <v>14</v>
      </c>
      <c r="AE9" t="s">
        <v>83</v>
      </c>
      <c r="AF9" s="10">
        <v>57993</v>
      </c>
      <c r="AG9" s="10">
        <v>57993</v>
      </c>
      <c r="AH9" s="10">
        <v>57992</v>
      </c>
      <c r="AI9" s="10">
        <v>57993</v>
      </c>
      <c r="AJ9" s="10">
        <v>45993</v>
      </c>
      <c r="AK9" s="10">
        <v>37993</v>
      </c>
      <c r="AL9" s="10">
        <v>33993</v>
      </c>
      <c r="AM9" s="10">
        <v>33993</v>
      </c>
      <c r="AN9" s="10">
        <v>27993</v>
      </c>
      <c r="AO9" s="10">
        <v>27993</v>
      </c>
      <c r="AP9" s="10">
        <v>329948</v>
      </c>
      <c r="AQ9" s="10">
        <v>213942</v>
      </c>
      <c r="AR9" s="10">
        <v>170842</v>
      </c>
      <c r="AS9" s="10">
        <v>133099</v>
      </c>
      <c r="AT9" s="10">
        <v>94152</v>
      </c>
      <c r="AU9" s="10">
        <v>76789</v>
      </c>
      <c r="AV9" s="10">
        <v>66853</v>
      </c>
      <c r="AW9" s="10">
        <v>74943</v>
      </c>
      <c r="AX9" s="10">
        <v>57620</v>
      </c>
      <c r="AY9" s="10">
        <v>48357</v>
      </c>
      <c r="AZ9" s="10">
        <v>45713</v>
      </c>
      <c r="BA9" s="10">
        <v>38895</v>
      </c>
      <c r="BB9" s="10">
        <v>36923</v>
      </c>
      <c r="BC9" s="10">
        <v>31220</v>
      </c>
      <c r="BD9" s="10">
        <v>36672</v>
      </c>
      <c r="BE9" s="10">
        <v>43433</v>
      </c>
      <c r="BF9" s="10">
        <v>27859</v>
      </c>
      <c r="BG9" s="10">
        <v>25807</v>
      </c>
      <c r="BH9" s="10">
        <v>36743</v>
      </c>
      <c r="BI9" s="10">
        <v>271183</v>
      </c>
      <c r="BJ9" s="10">
        <v>172212</v>
      </c>
      <c r="BK9" s="10">
        <v>219521</v>
      </c>
      <c r="BL9" s="10">
        <v>120963</v>
      </c>
      <c r="BM9" s="10">
        <v>96026</v>
      </c>
      <c r="BN9" s="10">
        <v>120032</v>
      </c>
      <c r="BO9" s="10">
        <v>33609</v>
      </c>
      <c r="BP9" s="10">
        <v>120032</v>
      </c>
      <c r="BQ9" s="10">
        <v>144039</v>
      </c>
      <c r="BR9" s="10">
        <v>96026</v>
      </c>
      <c r="BS9" s="10">
        <v>102027</v>
      </c>
      <c r="BT9" s="10">
        <v>96026</v>
      </c>
      <c r="BU9" s="10">
        <v>96026</v>
      </c>
      <c r="BV9" s="10">
        <v>102027</v>
      </c>
      <c r="BW9" s="10">
        <v>72019</v>
      </c>
      <c r="BX9" s="10">
        <v>72019</v>
      </c>
      <c r="BY9" s="10">
        <v>96026</v>
      </c>
      <c r="BZ9" s="10">
        <v>91224</v>
      </c>
      <c r="CA9" s="10">
        <v>78021</v>
      </c>
      <c r="CB9" s="10">
        <v>108029</v>
      </c>
      <c r="CC9" s="10">
        <v>82823</v>
      </c>
      <c r="CD9" s="10">
        <v>74420</v>
      </c>
      <c r="CE9" s="10">
        <v>68418</v>
      </c>
      <c r="CF9" s="10">
        <v>62417</v>
      </c>
      <c r="CG9" s="10">
        <v>70819</v>
      </c>
      <c r="CH9" s="10">
        <v>56415</v>
      </c>
      <c r="CI9" s="10">
        <v>56415</v>
      </c>
      <c r="CJ9" s="10">
        <v>58816</v>
      </c>
      <c r="CK9" s="10">
        <v>60016</v>
      </c>
      <c r="CL9" s="10">
        <v>94826</v>
      </c>
      <c r="CM9" s="10">
        <v>50413</v>
      </c>
      <c r="CN9" s="10">
        <v>46813</v>
      </c>
      <c r="CO9" s="10">
        <v>55815</v>
      </c>
      <c r="CP9" s="10">
        <v>228061</v>
      </c>
      <c r="CQ9" s="10">
        <v>120032</v>
      </c>
      <c r="CR9" s="10">
        <v>78021</v>
      </c>
      <c r="CS9" s="10">
        <v>96026</v>
      </c>
      <c r="CT9" s="10">
        <v>84023</v>
      </c>
      <c r="CU9" s="10">
        <v>78021</v>
      </c>
      <c r="CV9" s="10">
        <v>90024</v>
      </c>
      <c r="CW9" s="10">
        <v>108029</v>
      </c>
      <c r="CX9" s="10">
        <v>70819</v>
      </c>
      <c r="CY9" s="10">
        <v>60016</v>
      </c>
      <c r="CZ9" s="10">
        <v>66017</v>
      </c>
      <c r="DA9" s="10">
        <v>102027</v>
      </c>
      <c r="DB9" s="10">
        <v>57615</v>
      </c>
      <c r="DC9" s="10">
        <v>60016</v>
      </c>
      <c r="DD9" s="10">
        <v>75620</v>
      </c>
      <c r="DE9" s="10">
        <v>204055</v>
      </c>
      <c r="DF9" s="10">
        <v>192052</v>
      </c>
      <c r="DG9" s="10">
        <v>114031</v>
      </c>
      <c r="DH9" s="10">
        <v>60016</v>
      </c>
      <c r="DI9" s="10">
        <v>45612</v>
      </c>
      <c r="DJ9" s="10">
        <v>48013</v>
      </c>
      <c r="DK9" s="10">
        <v>60016</v>
      </c>
      <c r="DL9" s="10">
        <v>72019</v>
      </c>
      <c r="DM9" s="10">
        <v>288078</v>
      </c>
      <c r="DN9" s="10">
        <v>180049</v>
      </c>
      <c r="DO9" s="10">
        <v>204055</v>
      </c>
      <c r="DP9" s="10">
        <v>96026</v>
      </c>
      <c r="DQ9" s="10">
        <v>168045</v>
      </c>
      <c r="DR9" s="10">
        <v>90024</v>
      </c>
      <c r="DS9" s="10">
        <v>48013</v>
      </c>
      <c r="DT9" s="10">
        <v>54014</v>
      </c>
      <c r="DU9" s="10">
        <v>84023</v>
      </c>
      <c r="DV9" s="10">
        <v>124354</v>
      </c>
      <c r="DW9" s="10">
        <v>134436</v>
      </c>
      <c r="DX9" s="10">
        <v>74420</v>
      </c>
      <c r="DY9" s="10">
        <v>180048</v>
      </c>
      <c r="DZ9" s="10">
        <v>108028</v>
      </c>
      <c r="EA9" s="10">
        <v>102027</v>
      </c>
      <c r="EB9" s="10">
        <v>96025</v>
      </c>
      <c r="EC9" s="10">
        <v>78021</v>
      </c>
      <c r="ED9" s="10">
        <v>66018</v>
      </c>
      <c r="EE9" s="10">
        <v>48013</v>
      </c>
      <c r="EF9" s="10">
        <v>48013</v>
      </c>
      <c r="EG9" s="10">
        <v>48013</v>
      </c>
      <c r="EH9" s="10">
        <v>54014</v>
      </c>
      <c r="EI9" s="10">
        <v>60016</v>
      </c>
      <c r="EJ9" s="10">
        <v>56415</v>
      </c>
      <c r="EK9" s="10">
        <v>60016</v>
      </c>
      <c r="EL9" s="10">
        <v>60016</v>
      </c>
      <c r="EM9" s="10">
        <v>144038</v>
      </c>
      <c r="EN9" s="10">
        <v>133235</v>
      </c>
      <c r="EO9" s="10">
        <v>81622</v>
      </c>
      <c r="EP9" s="10">
        <v>80422</v>
      </c>
      <c r="EQ9" s="10">
        <v>78021</v>
      </c>
      <c r="ER9" s="10">
        <v>132035</v>
      </c>
      <c r="ES9" s="10">
        <v>132035</v>
      </c>
      <c r="ET9" s="10">
        <v>72019</v>
      </c>
      <c r="EU9" s="10">
        <v>63617</v>
      </c>
      <c r="EV9" s="10">
        <v>62417</v>
      </c>
      <c r="EW9" s="10">
        <v>108029</v>
      </c>
      <c r="EX9" s="10">
        <v>140437</v>
      </c>
      <c r="EY9" s="10">
        <v>96026</v>
      </c>
      <c r="EZ9" s="10">
        <v>72019</v>
      </c>
      <c r="FA9" s="10">
        <v>76821</v>
      </c>
      <c r="FB9" s="10">
        <v>216057</v>
      </c>
      <c r="FC9" s="10">
        <v>127234</v>
      </c>
      <c r="FD9" s="10">
        <v>78021</v>
      </c>
      <c r="FE9" s="10">
        <v>60016</v>
      </c>
      <c r="FF9" s="10">
        <v>66018</v>
      </c>
      <c r="FG9" s="10">
        <v>234063</v>
      </c>
      <c r="FH9" s="10">
        <v>129634</v>
      </c>
      <c r="FI9" s="10">
        <v>66018</v>
      </c>
      <c r="FJ9" s="10">
        <v>60016</v>
      </c>
      <c r="FK9" s="10">
        <v>54014</v>
      </c>
    </row>
    <row r="10" spans="3:167" x14ac:dyDescent="0.2">
      <c r="C10" s="10">
        <f t="shared" si="9"/>
        <v>199.99997999999999</v>
      </c>
      <c r="D10" s="10">
        <f t="shared" si="10"/>
        <v>1200.3291477114901</v>
      </c>
      <c r="E10" s="10" cm="1">
        <f t="array" ref="E10">gavg(AF10,EL10)</f>
        <v>983.45037854953057</v>
      </c>
      <c r="F10" s="10" cm="1">
        <f t="array" ref="F10">lnstdev(AF10,EL10)</f>
        <v>0.5087635469228563</v>
      </c>
      <c r="G10" s="10">
        <f t="shared" si="11"/>
        <v>111</v>
      </c>
      <c r="H10" s="10">
        <f t="shared" si="12"/>
        <v>199.99997999999999</v>
      </c>
      <c r="I10" s="10">
        <f t="shared" si="13"/>
        <v>199.99997999999999</v>
      </c>
      <c r="J10" s="10"/>
      <c r="K10" s="10"/>
      <c r="L10" s="10">
        <f t="shared" si="14"/>
        <v>10</v>
      </c>
      <c r="M10" s="10">
        <f t="shared" si="15"/>
        <v>1000</v>
      </c>
      <c r="N10" s="10">
        <f t="shared" si="16"/>
        <v>1000</v>
      </c>
      <c r="O10" s="10">
        <f t="shared" si="17"/>
        <v>23</v>
      </c>
      <c r="P10" s="10">
        <f t="shared" si="18"/>
        <v>1200.3185366457703</v>
      </c>
      <c r="Q10" s="10">
        <f t="shared" si="19"/>
        <v>1200.3288331011927</v>
      </c>
      <c r="R10" s="10">
        <f t="shared" si="20"/>
        <v>29</v>
      </c>
      <c r="S10" s="10">
        <f t="shared" si="21"/>
        <v>1200.3130653921353</v>
      </c>
      <c r="T10" s="10">
        <f t="shared" si="22"/>
        <v>1200.3269711555401</v>
      </c>
      <c r="U10" s="10">
        <f t="shared" si="23"/>
        <v>31</v>
      </c>
      <c r="V10" s="10">
        <f t="shared" si="0"/>
        <v>1200.3142972123417</v>
      </c>
      <c r="W10" s="10">
        <f t="shared" si="1"/>
        <v>1200.3291477114901</v>
      </c>
      <c r="X10" s="10">
        <f t="shared" si="2"/>
        <v>18</v>
      </c>
      <c r="Y10" s="10">
        <f t="shared" si="3"/>
        <v>1200.3219969935044</v>
      </c>
      <c r="Z10" s="10">
        <f t="shared" si="4"/>
        <v>1200.3248862425673</v>
      </c>
      <c r="AA10" s="10">
        <f t="shared" si="5"/>
        <v>4</v>
      </c>
      <c r="AB10" s="10">
        <f t="shared" si="6"/>
        <v>1200.3142972123417</v>
      </c>
      <c r="AC10" s="10">
        <f t="shared" si="7"/>
        <v>1200.3291477114901</v>
      </c>
      <c r="AD10" s="10">
        <f t="shared" si="8"/>
        <v>14</v>
      </c>
      <c r="AE10" t="s">
        <v>15</v>
      </c>
      <c r="AF10" s="10">
        <v>199.99997999999999</v>
      </c>
      <c r="AG10" s="10">
        <v>199.99997999999999</v>
      </c>
      <c r="AH10" s="10">
        <v>199.99997999999999</v>
      </c>
      <c r="AI10" s="10">
        <v>199.99997999999999</v>
      </c>
      <c r="AJ10" s="10">
        <v>199.99997999999999</v>
      </c>
      <c r="AK10" s="10">
        <v>199.99997999999999</v>
      </c>
      <c r="AL10" s="10">
        <v>199.99997999999999</v>
      </c>
      <c r="AM10" s="10">
        <v>199.99997999999999</v>
      </c>
      <c r="AN10" s="10">
        <v>199.99997999999999</v>
      </c>
      <c r="AO10" s="10">
        <v>199.99997999999999</v>
      </c>
      <c r="AP10" s="10">
        <v>1000</v>
      </c>
      <c r="AQ10" s="10">
        <v>1000</v>
      </c>
      <c r="AR10" s="10">
        <v>1000</v>
      </c>
      <c r="AS10" s="10">
        <v>1000</v>
      </c>
      <c r="AT10" s="10">
        <v>1000</v>
      </c>
      <c r="AU10" s="10">
        <v>1000</v>
      </c>
      <c r="AV10" s="10">
        <v>1000</v>
      </c>
      <c r="AW10" s="10">
        <v>1000</v>
      </c>
      <c r="AX10" s="10">
        <v>1000</v>
      </c>
      <c r="AY10" s="10">
        <v>1000</v>
      </c>
      <c r="AZ10" s="10">
        <v>1000</v>
      </c>
      <c r="BA10" s="10">
        <v>1000</v>
      </c>
      <c r="BB10" s="10">
        <v>1000</v>
      </c>
      <c r="BC10" s="10">
        <v>1000</v>
      </c>
      <c r="BD10" s="10">
        <v>1000</v>
      </c>
      <c r="BE10" s="10">
        <v>1000</v>
      </c>
      <c r="BF10" s="10">
        <v>1000</v>
      </c>
      <c r="BG10" s="10">
        <v>1000</v>
      </c>
      <c r="BH10" s="10">
        <v>1000</v>
      </c>
      <c r="BI10" s="10">
        <v>1000</v>
      </c>
      <c r="BJ10" s="10">
        <v>1000</v>
      </c>
      <c r="BK10" s="10">
        <v>1000</v>
      </c>
      <c r="BL10" s="10">
        <v>1000</v>
      </c>
      <c r="BM10" s="10">
        <v>1200.326036894767</v>
      </c>
      <c r="BN10" s="10">
        <v>1200.3227968675992</v>
      </c>
      <c r="BO10" s="10">
        <v>1200.3288331011927</v>
      </c>
      <c r="BP10" s="10">
        <v>1200.3212692390523</v>
      </c>
      <c r="BQ10" s="10">
        <v>1200.3223412730401</v>
      </c>
      <c r="BR10" s="10">
        <v>1200.325304990886</v>
      </c>
      <c r="BS10" s="10">
        <v>1200.3192901556386</v>
      </c>
      <c r="BT10" s="10">
        <v>1200.3240943174528</v>
      </c>
      <c r="BU10" s="10">
        <v>1200.3219000746203</v>
      </c>
      <c r="BV10" s="10">
        <v>1200.3209941488847</v>
      </c>
      <c r="BW10" s="10">
        <v>1200.3211684976254</v>
      </c>
      <c r="BX10" s="10">
        <v>1200.3235199228291</v>
      </c>
      <c r="BY10" s="10">
        <v>1200.3231623255176</v>
      </c>
      <c r="BZ10" s="10">
        <v>1200.3188755311967</v>
      </c>
      <c r="CA10" s="10">
        <v>1200.3218973882624</v>
      </c>
      <c r="CB10" s="10">
        <v>1200.3233136796412</v>
      </c>
      <c r="CC10" s="10">
        <v>1200.3263141373106</v>
      </c>
      <c r="CD10" s="10">
        <v>1200.3220031054952</v>
      </c>
      <c r="CE10" s="10">
        <v>1200.3191107308428</v>
      </c>
      <c r="CF10" s="10">
        <v>1200.322764772367</v>
      </c>
      <c r="CG10" s="10">
        <v>1200.3273878028724</v>
      </c>
      <c r="CH10" s="10">
        <v>1200.3256314115954</v>
      </c>
      <c r="CI10" s="10">
        <v>1200.3189259633448</v>
      </c>
      <c r="CJ10" s="10">
        <v>1200.323859316577</v>
      </c>
      <c r="CK10" s="10">
        <v>1200.3221448237016</v>
      </c>
      <c r="CL10" s="10">
        <v>1200.3257679389783</v>
      </c>
      <c r="CM10" s="10">
        <v>1200.3185366457703</v>
      </c>
      <c r="CN10" s="10">
        <v>1200.3208074830031</v>
      </c>
      <c r="CO10" s="10">
        <v>1200.3206492681024</v>
      </c>
      <c r="CP10" s="10">
        <v>1200.3202581948431</v>
      </c>
      <c r="CQ10" s="10">
        <v>1200.32048259506</v>
      </c>
      <c r="CR10" s="10">
        <v>1200.3193430294477</v>
      </c>
      <c r="CS10" s="10">
        <v>1200.3242284043185</v>
      </c>
      <c r="CT10" s="10">
        <v>1200.3218431422781</v>
      </c>
      <c r="CU10" s="10">
        <v>1200.324127862069</v>
      </c>
      <c r="CV10" s="10">
        <v>1200.3251330004352</v>
      </c>
      <c r="CW10" s="10">
        <v>1200.3211599852236</v>
      </c>
      <c r="CX10" s="10">
        <v>1200.3205782542311</v>
      </c>
      <c r="CY10" s="10">
        <v>1200.3204646889039</v>
      </c>
      <c r="CZ10" s="10">
        <v>1200.3130653921353</v>
      </c>
      <c r="DA10" s="10">
        <v>1200.3167612057191</v>
      </c>
      <c r="DB10" s="10">
        <v>1200.3178458154543</v>
      </c>
      <c r="DC10" s="10">
        <v>1200.3177592988823</v>
      </c>
      <c r="DD10" s="10">
        <v>1200.3198285765845</v>
      </c>
      <c r="DE10" s="10">
        <v>1200.3232241744315</v>
      </c>
      <c r="DF10" s="10">
        <v>1200.3227830848816</v>
      </c>
      <c r="DG10" s="10">
        <v>1200.3223216299277</v>
      </c>
      <c r="DH10" s="10">
        <v>1200.3170063640821</v>
      </c>
      <c r="DI10" s="10">
        <v>1200.3189467330762</v>
      </c>
      <c r="DJ10" s="10">
        <v>1200.3230273803804</v>
      </c>
      <c r="DK10" s="10">
        <v>1200.3238498598705</v>
      </c>
      <c r="DL10" s="10">
        <v>1200.3232586139011</v>
      </c>
      <c r="DM10" s="10">
        <v>1200.3229483073317</v>
      </c>
      <c r="DN10" s="10">
        <v>1200.3269711555401</v>
      </c>
      <c r="DO10" s="10">
        <v>1200.32494007626</v>
      </c>
      <c r="DP10" s="10">
        <v>1200.3209996434991</v>
      </c>
      <c r="DQ10" s="10">
        <v>1200.3236137675888</v>
      </c>
      <c r="DR10" s="10">
        <v>1200.3184343158953</v>
      </c>
      <c r="DS10" s="10">
        <v>1200.3214346702412</v>
      </c>
      <c r="DT10" s="10">
        <v>1200.3199637501261</v>
      </c>
      <c r="DU10" s="10">
        <v>1200.3240980251358</v>
      </c>
      <c r="DV10" s="10">
        <v>1200.3248862425673</v>
      </c>
      <c r="DW10" s="10">
        <v>1200.3224719300167</v>
      </c>
      <c r="DX10" s="10">
        <v>1200.3219969935044</v>
      </c>
      <c r="DY10" s="10">
        <v>1200.3225139196657</v>
      </c>
      <c r="DZ10" s="10">
        <v>1200.3165103430676</v>
      </c>
      <c r="EA10" s="10">
        <v>1200.3206423901688</v>
      </c>
      <c r="EB10" s="10">
        <v>1200.3142972123417</v>
      </c>
      <c r="EC10" s="10">
        <v>1200.3225753358631</v>
      </c>
      <c r="ED10" s="10">
        <v>1200.3247728279437</v>
      </c>
      <c r="EE10" s="10">
        <v>1200.3240521056723</v>
      </c>
      <c r="EF10" s="10">
        <v>1200.3245397850515</v>
      </c>
      <c r="EG10" s="10">
        <v>1200.3201657862401</v>
      </c>
      <c r="EH10" s="10">
        <v>1200.3209730918734</v>
      </c>
      <c r="EI10" s="10">
        <v>1200.3190005241868</v>
      </c>
      <c r="EJ10" s="10">
        <v>1200.3209453599118</v>
      </c>
      <c r="EK10" s="10">
        <v>1200.3291477114901</v>
      </c>
      <c r="EL10" s="10">
        <v>1200.3184700328811</v>
      </c>
      <c r="EM10" s="10">
        <v>1200.3189691683597</v>
      </c>
      <c r="EN10" s="10">
        <v>1200.3164576270531</v>
      </c>
      <c r="EO10" s="10">
        <v>1200.3234319047529</v>
      </c>
      <c r="EP10" s="10">
        <v>1200.3248025264961</v>
      </c>
      <c r="EQ10" s="10">
        <v>1200.3192390870106</v>
      </c>
      <c r="ER10" s="10">
        <v>1200.3219864257496</v>
      </c>
      <c r="ES10" s="10">
        <v>1200.3219822743138</v>
      </c>
      <c r="ET10" s="10">
        <v>1200.3242570193502</v>
      </c>
      <c r="EU10" s="10">
        <v>1200.3231152046619</v>
      </c>
      <c r="EV10" s="10">
        <v>1200.3203721178504</v>
      </c>
      <c r="EW10" s="10">
        <v>1200.3179132772457</v>
      </c>
      <c r="EX10" s="10">
        <v>1200.3198734475802</v>
      </c>
      <c r="EY10" s="10">
        <v>1200.3231542445876</v>
      </c>
      <c r="EZ10" s="10">
        <v>1200.3102167271006</v>
      </c>
      <c r="FA10" s="10">
        <v>1200.3226853012529</v>
      </c>
      <c r="FB10" s="10">
        <v>1200.3155414476187</v>
      </c>
      <c r="FC10" s="10">
        <v>1200.3220355017577</v>
      </c>
      <c r="FD10" s="10">
        <v>1200.3178492192992</v>
      </c>
      <c r="FE10" s="10">
        <v>1200.3145970239812</v>
      </c>
      <c r="FF10" s="10">
        <v>1200.3201854000049</v>
      </c>
      <c r="FG10" s="10">
        <v>1200.3207150629548</v>
      </c>
      <c r="FH10" s="10">
        <v>1200.3188337055515</v>
      </c>
      <c r="FI10" s="10">
        <v>1200.3275714438932</v>
      </c>
      <c r="FJ10" s="10">
        <v>1200.3164280051872</v>
      </c>
      <c r="FK10" s="10">
        <v>1200.3192137891006</v>
      </c>
    </row>
    <row r="11" spans="3:167" x14ac:dyDescent="0.2">
      <c r="C11" s="10">
        <f t="shared" si="9"/>
        <v>1</v>
      </c>
      <c r="D11" s="10">
        <f t="shared" si="10"/>
        <v>1</v>
      </c>
      <c r="E11" s="10" cm="1">
        <f t="array" ref="E11">gavg(AF11,EL11)</f>
        <v>1</v>
      </c>
      <c r="F11" s="10" cm="1">
        <f t="array" ref="F11">lnstdev(AF11,EL11)</f>
        <v>0</v>
      </c>
      <c r="G11" s="10">
        <f t="shared" si="11"/>
        <v>111</v>
      </c>
      <c r="H11" s="10">
        <f t="shared" si="12"/>
        <v>1</v>
      </c>
      <c r="I11" s="10">
        <f t="shared" si="13"/>
        <v>1</v>
      </c>
      <c r="J11" s="10"/>
      <c r="K11" s="10"/>
      <c r="L11" s="10">
        <f t="shared" si="14"/>
        <v>10</v>
      </c>
      <c r="M11" s="10">
        <f t="shared" si="15"/>
        <v>1</v>
      </c>
      <c r="N11" s="10">
        <f t="shared" si="16"/>
        <v>1</v>
      </c>
      <c r="O11" s="10">
        <f t="shared" si="17"/>
        <v>23</v>
      </c>
      <c r="P11" s="10">
        <f t="shared" si="18"/>
        <v>1</v>
      </c>
      <c r="Q11" s="10">
        <f t="shared" si="19"/>
        <v>1</v>
      </c>
      <c r="R11" s="10">
        <f t="shared" si="20"/>
        <v>29</v>
      </c>
      <c r="S11" s="10">
        <f t="shared" si="21"/>
        <v>1</v>
      </c>
      <c r="T11" s="10">
        <f t="shared" si="22"/>
        <v>1</v>
      </c>
      <c r="U11" s="10">
        <f t="shared" si="23"/>
        <v>31</v>
      </c>
      <c r="V11" s="10">
        <f t="shared" si="0"/>
        <v>1</v>
      </c>
      <c r="W11" s="10">
        <f t="shared" si="1"/>
        <v>1</v>
      </c>
      <c r="X11" s="10">
        <f t="shared" si="2"/>
        <v>18</v>
      </c>
      <c r="Y11" s="10">
        <f t="shared" si="3"/>
        <v>1</v>
      </c>
      <c r="Z11" s="10">
        <f t="shared" si="4"/>
        <v>1</v>
      </c>
      <c r="AA11" s="10">
        <f t="shared" si="5"/>
        <v>4</v>
      </c>
      <c r="AB11" s="10">
        <f t="shared" si="6"/>
        <v>1</v>
      </c>
      <c r="AC11" s="10">
        <f t="shared" si="7"/>
        <v>1</v>
      </c>
      <c r="AD11" s="10">
        <f t="shared" si="8"/>
        <v>14</v>
      </c>
      <c r="AE11" t="s">
        <v>145</v>
      </c>
      <c r="AF11" s="10">
        <v>1</v>
      </c>
      <c r="AG11" s="10">
        <v>1</v>
      </c>
      <c r="AH11" s="10">
        <v>1</v>
      </c>
      <c r="AI11" s="10">
        <v>1</v>
      </c>
      <c r="AJ11" s="10">
        <v>1</v>
      </c>
      <c r="AK11" s="10">
        <v>1</v>
      </c>
      <c r="AL11" s="10">
        <v>1</v>
      </c>
      <c r="AM11" s="10">
        <v>1</v>
      </c>
      <c r="AN11" s="10">
        <v>1</v>
      </c>
      <c r="AO11" s="10">
        <v>1</v>
      </c>
      <c r="AP11" s="10">
        <v>1</v>
      </c>
      <c r="AQ11" s="10">
        <v>1</v>
      </c>
      <c r="AR11" s="10">
        <v>1</v>
      </c>
      <c r="AS11" s="10">
        <v>1</v>
      </c>
      <c r="AT11" s="10">
        <v>1</v>
      </c>
      <c r="AU11" s="10">
        <v>1</v>
      </c>
      <c r="AV11" s="10">
        <v>1</v>
      </c>
      <c r="AW11" s="10">
        <v>1</v>
      </c>
      <c r="AX11" s="10">
        <v>1</v>
      </c>
      <c r="AY11" s="10">
        <v>1</v>
      </c>
      <c r="AZ11" s="10">
        <v>1</v>
      </c>
      <c r="BA11" s="10">
        <v>1</v>
      </c>
      <c r="BB11" s="10">
        <v>1</v>
      </c>
      <c r="BC11" s="10">
        <v>1</v>
      </c>
      <c r="BD11" s="10">
        <v>1</v>
      </c>
      <c r="BE11" s="10">
        <v>1</v>
      </c>
      <c r="BF11" s="10">
        <v>1</v>
      </c>
      <c r="BG11" s="10">
        <v>1</v>
      </c>
      <c r="BH11" s="10">
        <v>1</v>
      </c>
      <c r="BI11" s="10">
        <v>1</v>
      </c>
      <c r="BJ11" s="10">
        <v>1</v>
      </c>
      <c r="BK11" s="10">
        <v>1</v>
      </c>
      <c r="BL11" s="10">
        <v>1</v>
      </c>
      <c r="BM11" s="10">
        <v>1</v>
      </c>
      <c r="BN11" s="10">
        <v>1</v>
      </c>
      <c r="BO11" s="10">
        <v>1</v>
      </c>
      <c r="BP11" s="10">
        <v>1</v>
      </c>
      <c r="BQ11" s="10">
        <v>1</v>
      </c>
      <c r="BR11" s="10">
        <v>1</v>
      </c>
      <c r="BS11" s="10">
        <v>1</v>
      </c>
      <c r="BT11" s="10">
        <v>1</v>
      </c>
      <c r="BU11" s="10">
        <v>1</v>
      </c>
      <c r="BV11" s="10">
        <v>1</v>
      </c>
      <c r="BW11" s="10">
        <v>1</v>
      </c>
      <c r="BX11" s="10">
        <v>1</v>
      </c>
      <c r="BY11" s="10">
        <v>1</v>
      </c>
      <c r="BZ11" s="10">
        <v>1</v>
      </c>
      <c r="CA11" s="10">
        <v>1</v>
      </c>
      <c r="CB11" s="10">
        <v>1</v>
      </c>
      <c r="CC11" s="10">
        <v>1</v>
      </c>
      <c r="CD11" s="10">
        <v>1</v>
      </c>
      <c r="CE11" s="10">
        <v>1</v>
      </c>
      <c r="CF11" s="10">
        <v>1</v>
      </c>
      <c r="CG11" s="10">
        <v>1</v>
      </c>
      <c r="CH11" s="10">
        <v>1</v>
      </c>
      <c r="CI11" s="10">
        <v>1</v>
      </c>
      <c r="CJ11" s="10">
        <v>1</v>
      </c>
      <c r="CK11" s="10">
        <v>1</v>
      </c>
      <c r="CL11" s="10">
        <v>1</v>
      </c>
      <c r="CM11" s="10">
        <v>1</v>
      </c>
      <c r="CN11" s="10">
        <v>1</v>
      </c>
      <c r="CO11" s="10">
        <v>1</v>
      </c>
      <c r="CP11" s="10">
        <v>1</v>
      </c>
      <c r="CQ11" s="10">
        <v>1</v>
      </c>
      <c r="CR11" s="10">
        <v>1</v>
      </c>
      <c r="CS11" s="10">
        <v>1</v>
      </c>
      <c r="CT11" s="10">
        <v>1</v>
      </c>
      <c r="CU11" s="10">
        <v>1</v>
      </c>
      <c r="CV11" s="10">
        <v>1</v>
      </c>
      <c r="CW11" s="10">
        <v>1</v>
      </c>
      <c r="CX11" s="10">
        <v>1</v>
      </c>
      <c r="CY11" s="10">
        <v>1</v>
      </c>
      <c r="CZ11" s="10">
        <v>1</v>
      </c>
      <c r="DA11" s="10">
        <v>1</v>
      </c>
      <c r="DB11" s="10">
        <v>1</v>
      </c>
      <c r="DC11" s="10">
        <v>1</v>
      </c>
      <c r="DD11" s="10">
        <v>1</v>
      </c>
      <c r="DE11" s="10">
        <v>1</v>
      </c>
      <c r="DF11" s="10">
        <v>1</v>
      </c>
      <c r="DG11" s="10">
        <v>1</v>
      </c>
      <c r="DH11" s="10">
        <v>1</v>
      </c>
      <c r="DI11" s="10">
        <v>1</v>
      </c>
      <c r="DJ11" s="10">
        <v>1</v>
      </c>
      <c r="DK11" s="10">
        <v>1</v>
      </c>
      <c r="DL11" s="10">
        <v>1</v>
      </c>
      <c r="DM11" s="10">
        <v>1</v>
      </c>
      <c r="DN11" s="10">
        <v>1</v>
      </c>
      <c r="DO11" s="10">
        <v>1</v>
      </c>
      <c r="DP11" s="10">
        <v>1</v>
      </c>
      <c r="DQ11" s="10">
        <v>1</v>
      </c>
      <c r="DR11" s="10">
        <v>1</v>
      </c>
      <c r="DS11" s="10">
        <v>1</v>
      </c>
      <c r="DT11" s="10">
        <v>1</v>
      </c>
      <c r="DU11" s="10">
        <v>1</v>
      </c>
      <c r="DV11" s="10">
        <v>1</v>
      </c>
      <c r="DW11" s="10">
        <v>1</v>
      </c>
      <c r="DX11" s="10">
        <v>1</v>
      </c>
      <c r="DY11" s="10">
        <v>1</v>
      </c>
      <c r="DZ11" s="10">
        <v>1</v>
      </c>
      <c r="EA11" s="10">
        <v>1</v>
      </c>
      <c r="EB11" s="10">
        <v>1</v>
      </c>
      <c r="EC11" s="10">
        <v>1</v>
      </c>
      <c r="ED11" s="10">
        <v>1</v>
      </c>
      <c r="EE11" s="10">
        <v>1</v>
      </c>
      <c r="EF11" s="10">
        <v>1</v>
      </c>
      <c r="EG11" s="10">
        <v>1</v>
      </c>
      <c r="EH11" s="10">
        <v>1</v>
      </c>
      <c r="EI11" s="10">
        <v>1</v>
      </c>
      <c r="EJ11" s="10">
        <v>1</v>
      </c>
      <c r="EK11" s="10">
        <v>1</v>
      </c>
      <c r="EL11" s="10">
        <v>1</v>
      </c>
      <c r="EM11" s="10">
        <v>1</v>
      </c>
      <c r="EN11" s="10">
        <v>1</v>
      </c>
      <c r="EO11" s="10">
        <v>1</v>
      </c>
      <c r="EP11" s="10">
        <v>1</v>
      </c>
      <c r="EQ11" s="10">
        <v>1</v>
      </c>
      <c r="ER11" s="10">
        <v>1</v>
      </c>
      <c r="ES11" s="10">
        <v>1</v>
      </c>
      <c r="ET11" s="10">
        <v>1</v>
      </c>
      <c r="EU11" s="10">
        <v>1</v>
      </c>
      <c r="EV11" s="10">
        <v>1</v>
      </c>
      <c r="EW11" s="10">
        <v>1</v>
      </c>
      <c r="EX11" s="10">
        <v>1</v>
      </c>
      <c r="EY11" s="10">
        <v>1</v>
      </c>
      <c r="EZ11" s="10">
        <v>1</v>
      </c>
      <c r="FA11" s="10">
        <v>1</v>
      </c>
      <c r="FB11" s="10">
        <v>1</v>
      </c>
      <c r="FC11" s="10">
        <v>1</v>
      </c>
      <c r="FD11" s="10">
        <v>1</v>
      </c>
      <c r="FE11" s="10">
        <v>1</v>
      </c>
      <c r="FF11" s="10">
        <v>1</v>
      </c>
      <c r="FG11" s="10">
        <v>1</v>
      </c>
      <c r="FH11" s="10">
        <v>1</v>
      </c>
      <c r="FI11" s="10">
        <v>1</v>
      </c>
      <c r="FJ11" s="10">
        <v>1</v>
      </c>
      <c r="FK11" s="10">
        <v>1</v>
      </c>
    </row>
    <row r="12" spans="3:167" x14ac:dyDescent="0.2">
      <c r="C12" s="10">
        <f t="shared" si="9"/>
        <v>1.1399999948480399E-6</v>
      </c>
      <c r="D12" s="10">
        <f t="shared" si="10"/>
        <v>1.1400000000000001E-6</v>
      </c>
      <c r="E12" s="10" cm="1">
        <f t="array" ref="E12">gavg(AF12,EL12)</f>
        <v>1.139999998932433E-6</v>
      </c>
      <c r="F12" s="10" cm="1">
        <f t="array" ref="F12">lnstdev(AF12,EL12)</f>
        <v>0</v>
      </c>
      <c r="G12" s="10">
        <f t="shared" si="11"/>
        <v>111</v>
      </c>
      <c r="H12" s="10">
        <f t="shared" si="12"/>
        <v>1.1400000000000001E-6</v>
      </c>
      <c r="I12" s="10">
        <f t="shared" si="13"/>
        <v>1.1400000000000001E-6</v>
      </c>
      <c r="J12" s="10"/>
      <c r="K12" s="10"/>
      <c r="L12" s="10">
        <f t="shared" si="14"/>
        <v>10</v>
      </c>
      <c r="M12" s="10">
        <f t="shared" si="15"/>
        <v>1.1399999948480399E-6</v>
      </c>
      <c r="N12" s="10">
        <f t="shared" si="16"/>
        <v>1.1399999948480399E-6</v>
      </c>
      <c r="O12" s="10">
        <f t="shared" si="17"/>
        <v>23</v>
      </c>
      <c r="P12" s="10">
        <f t="shared" si="18"/>
        <v>1.1400000000000001E-6</v>
      </c>
      <c r="Q12" s="10">
        <f t="shared" si="19"/>
        <v>1.1400000000000001E-6</v>
      </c>
      <c r="R12" s="10">
        <f t="shared" si="20"/>
        <v>29</v>
      </c>
      <c r="S12" s="10">
        <f t="shared" si="21"/>
        <v>1.1400000000000001E-6</v>
      </c>
      <c r="T12" s="10">
        <f t="shared" si="22"/>
        <v>1.1400000000000001E-6</v>
      </c>
      <c r="U12" s="10">
        <f t="shared" si="23"/>
        <v>31</v>
      </c>
      <c r="V12" s="10">
        <f t="shared" si="0"/>
        <v>1.1400000000000001E-6</v>
      </c>
      <c r="W12" s="10">
        <f t="shared" si="1"/>
        <v>1.1400000000000001E-6</v>
      </c>
      <c r="X12" s="10">
        <f t="shared" si="2"/>
        <v>18</v>
      </c>
      <c r="Y12" s="10">
        <f t="shared" si="3"/>
        <v>1.1400000000000001E-6</v>
      </c>
      <c r="Z12" s="10">
        <f t="shared" si="4"/>
        <v>1.1400000000000001E-6</v>
      </c>
      <c r="AA12" s="10">
        <f t="shared" si="5"/>
        <v>4</v>
      </c>
      <c r="AB12" s="10">
        <f t="shared" si="6"/>
        <v>1.1400000000000001E-6</v>
      </c>
      <c r="AC12" s="10">
        <f t="shared" si="7"/>
        <v>1.1400000000000001E-6</v>
      </c>
      <c r="AD12" s="10">
        <f t="shared" si="8"/>
        <v>14</v>
      </c>
      <c r="AE12" t="s">
        <v>91</v>
      </c>
      <c r="AF12" s="10">
        <v>1.1400000000000001E-6</v>
      </c>
      <c r="AG12" s="10">
        <v>1.1400000000000001E-6</v>
      </c>
      <c r="AH12" s="10">
        <v>1.1400000000000001E-6</v>
      </c>
      <c r="AI12" s="10">
        <v>1.1400000000000001E-6</v>
      </c>
      <c r="AJ12" s="10">
        <v>1.1400000000000001E-6</v>
      </c>
      <c r="AK12" s="10">
        <v>1.1400000000000001E-6</v>
      </c>
      <c r="AL12" s="10">
        <v>1.1400000000000001E-6</v>
      </c>
      <c r="AM12" s="10">
        <v>1.1400000000000001E-6</v>
      </c>
      <c r="AN12" s="10">
        <v>1.1400000000000001E-6</v>
      </c>
      <c r="AO12" s="10">
        <v>1.1400000000000001E-6</v>
      </c>
      <c r="AP12" s="10">
        <v>1.1399999948480399E-6</v>
      </c>
      <c r="AQ12" s="10">
        <v>1.1399999948480399E-6</v>
      </c>
      <c r="AR12" s="10">
        <v>1.1399999948480399E-6</v>
      </c>
      <c r="AS12" s="10">
        <v>1.1399999948480399E-6</v>
      </c>
      <c r="AT12" s="10">
        <v>1.1399999948480399E-6</v>
      </c>
      <c r="AU12" s="10">
        <v>1.1399999948480399E-6</v>
      </c>
      <c r="AV12" s="10">
        <v>1.1399999948480399E-6</v>
      </c>
      <c r="AW12" s="10">
        <v>1.1399999948480399E-6</v>
      </c>
      <c r="AX12" s="10">
        <v>1.1399999948480399E-6</v>
      </c>
      <c r="AY12" s="10">
        <v>1.1399999948480399E-6</v>
      </c>
      <c r="AZ12" s="10">
        <v>1.1399999948480399E-6</v>
      </c>
      <c r="BA12" s="10">
        <v>1.1399999948480399E-6</v>
      </c>
      <c r="BB12" s="10">
        <v>1.1399999948480399E-6</v>
      </c>
      <c r="BC12" s="10">
        <v>1.1399999948480399E-6</v>
      </c>
      <c r="BD12" s="10">
        <v>1.1399999948480399E-6</v>
      </c>
      <c r="BE12" s="10">
        <v>1.1399999948480399E-6</v>
      </c>
      <c r="BF12" s="10">
        <v>1.1399999948480399E-6</v>
      </c>
      <c r="BG12" s="10">
        <v>1.1399999948480399E-6</v>
      </c>
      <c r="BH12" s="10">
        <v>1.1399999948480399E-6</v>
      </c>
      <c r="BI12" s="10">
        <v>1.1399999948480399E-6</v>
      </c>
      <c r="BJ12" s="10">
        <v>1.1399999948480399E-6</v>
      </c>
      <c r="BK12" s="10">
        <v>1.1399999948480399E-6</v>
      </c>
      <c r="BL12" s="10">
        <v>1.1399999948480399E-6</v>
      </c>
      <c r="BM12" s="10">
        <v>1.1400000000000001E-6</v>
      </c>
      <c r="BN12" s="10">
        <v>1.1400000000000001E-6</v>
      </c>
      <c r="BO12" s="10">
        <v>1.1400000000000001E-6</v>
      </c>
      <c r="BP12" s="10">
        <v>1.1400000000000001E-6</v>
      </c>
      <c r="BQ12" s="10">
        <v>1.1400000000000001E-6</v>
      </c>
      <c r="BR12" s="10">
        <v>1.1400000000000001E-6</v>
      </c>
      <c r="BS12" s="10">
        <v>1.1400000000000001E-6</v>
      </c>
      <c r="BT12" s="10">
        <v>1.1400000000000001E-6</v>
      </c>
      <c r="BU12" s="10">
        <v>1.1400000000000001E-6</v>
      </c>
      <c r="BV12" s="10">
        <v>1.1400000000000001E-6</v>
      </c>
      <c r="BW12" s="10">
        <v>1.1400000000000001E-6</v>
      </c>
      <c r="BX12" s="10">
        <v>1.1400000000000001E-6</v>
      </c>
      <c r="BY12" s="10">
        <v>1.1400000000000001E-6</v>
      </c>
      <c r="BZ12" s="10">
        <v>1.1400000000000001E-6</v>
      </c>
      <c r="CA12" s="10">
        <v>1.1400000000000001E-6</v>
      </c>
      <c r="CB12" s="10">
        <v>1.1400000000000001E-6</v>
      </c>
      <c r="CC12" s="10">
        <v>1.1400000000000001E-6</v>
      </c>
      <c r="CD12" s="10">
        <v>1.1400000000000001E-6</v>
      </c>
      <c r="CE12" s="10">
        <v>1.1400000000000001E-6</v>
      </c>
      <c r="CF12" s="10">
        <v>1.1400000000000001E-6</v>
      </c>
      <c r="CG12" s="10">
        <v>1.1400000000000001E-6</v>
      </c>
      <c r="CH12" s="10">
        <v>1.1400000000000001E-6</v>
      </c>
      <c r="CI12" s="10">
        <v>1.1400000000000001E-6</v>
      </c>
      <c r="CJ12" s="10">
        <v>1.1400000000000001E-6</v>
      </c>
      <c r="CK12" s="10">
        <v>1.1400000000000001E-6</v>
      </c>
      <c r="CL12" s="10">
        <v>1.1400000000000001E-6</v>
      </c>
      <c r="CM12" s="10">
        <v>1.1400000000000001E-6</v>
      </c>
      <c r="CN12" s="10">
        <v>1.1400000000000001E-6</v>
      </c>
      <c r="CO12" s="10">
        <v>1.1400000000000001E-6</v>
      </c>
      <c r="CP12" s="10">
        <v>1.1400000000000001E-6</v>
      </c>
      <c r="CQ12" s="10">
        <v>1.1400000000000001E-6</v>
      </c>
      <c r="CR12" s="10">
        <v>1.1400000000000001E-6</v>
      </c>
      <c r="CS12" s="10">
        <v>1.1400000000000001E-6</v>
      </c>
      <c r="CT12" s="10">
        <v>1.1400000000000001E-6</v>
      </c>
      <c r="CU12" s="10">
        <v>1.1400000000000001E-6</v>
      </c>
      <c r="CV12" s="10">
        <v>1.1400000000000001E-6</v>
      </c>
      <c r="CW12" s="10">
        <v>1.1400000000000001E-6</v>
      </c>
      <c r="CX12" s="10">
        <v>1.1400000000000001E-6</v>
      </c>
      <c r="CY12" s="10">
        <v>1.1400000000000001E-6</v>
      </c>
      <c r="CZ12" s="10">
        <v>1.1400000000000001E-6</v>
      </c>
      <c r="DA12" s="10">
        <v>1.1400000000000001E-6</v>
      </c>
      <c r="DB12" s="10">
        <v>1.1400000000000001E-6</v>
      </c>
      <c r="DC12" s="10">
        <v>1.1400000000000001E-6</v>
      </c>
      <c r="DD12" s="10">
        <v>1.1400000000000001E-6</v>
      </c>
      <c r="DE12" s="10">
        <v>1.1400000000000001E-6</v>
      </c>
      <c r="DF12" s="10">
        <v>1.1400000000000001E-6</v>
      </c>
      <c r="DG12" s="10">
        <v>1.1400000000000001E-6</v>
      </c>
      <c r="DH12" s="10">
        <v>1.1400000000000001E-6</v>
      </c>
      <c r="DI12" s="10">
        <v>1.1400000000000001E-6</v>
      </c>
      <c r="DJ12" s="10">
        <v>1.1400000000000001E-6</v>
      </c>
      <c r="DK12" s="10">
        <v>1.1400000000000001E-6</v>
      </c>
      <c r="DL12" s="10">
        <v>1.1400000000000001E-6</v>
      </c>
      <c r="DM12" s="10">
        <v>1.1400000000000001E-6</v>
      </c>
      <c r="DN12" s="10">
        <v>1.1400000000000001E-6</v>
      </c>
      <c r="DO12" s="10">
        <v>1.1400000000000001E-6</v>
      </c>
      <c r="DP12" s="10">
        <v>1.1400000000000001E-6</v>
      </c>
      <c r="DQ12" s="10">
        <v>1.1400000000000001E-6</v>
      </c>
      <c r="DR12" s="10">
        <v>1.1400000000000001E-6</v>
      </c>
      <c r="DS12" s="10">
        <v>1.1400000000000001E-6</v>
      </c>
      <c r="DT12" s="10">
        <v>1.1400000000000001E-6</v>
      </c>
      <c r="DU12" s="10">
        <v>1.1400000000000001E-6</v>
      </c>
      <c r="DV12" s="10">
        <v>1.1400000000000001E-6</v>
      </c>
      <c r="DW12" s="10">
        <v>1.1400000000000001E-6</v>
      </c>
      <c r="DX12" s="10">
        <v>1.1400000000000001E-6</v>
      </c>
      <c r="DY12" s="10">
        <v>1.1400000000000001E-6</v>
      </c>
      <c r="DZ12" s="10">
        <v>1.1400000000000001E-6</v>
      </c>
      <c r="EA12" s="10">
        <v>1.1400000000000001E-6</v>
      </c>
      <c r="EB12" s="10">
        <v>1.1400000000000001E-6</v>
      </c>
      <c r="EC12" s="10">
        <v>1.1400000000000001E-6</v>
      </c>
      <c r="ED12" s="10">
        <v>1.1400000000000001E-6</v>
      </c>
      <c r="EE12" s="10">
        <v>1.1400000000000001E-6</v>
      </c>
      <c r="EF12" s="10">
        <v>1.1400000000000001E-6</v>
      </c>
      <c r="EG12" s="10">
        <v>1.1400000000000001E-6</v>
      </c>
      <c r="EH12" s="10">
        <v>1.1400000000000001E-6</v>
      </c>
      <c r="EI12" s="10">
        <v>1.1400000000000001E-6</v>
      </c>
      <c r="EJ12" s="10">
        <v>1.1400000000000001E-6</v>
      </c>
      <c r="EK12" s="10">
        <v>1.1400000000000001E-6</v>
      </c>
      <c r="EL12" s="10">
        <v>1.1400000000000001E-6</v>
      </c>
      <c r="EM12" s="10">
        <v>1.1400000000000001E-6</v>
      </c>
      <c r="EN12" s="10">
        <v>1.1400000000000001E-6</v>
      </c>
      <c r="EO12" s="10">
        <v>1.1400000000000001E-6</v>
      </c>
      <c r="EP12" s="10">
        <v>1.1400000000000001E-6</v>
      </c>
      <c r="EQ12" s="10">
        <v>1.1400000000000001E-6</v>
      </c>
      <c r="ER12" s="10">
        <v>1.1400000000000001E-6</v>
      </c>
      <c r="ES12" s="10">
        <v>1.1400000000000001E-6</v>
      </c>
      <c r="ET12" s="10">
        <v>1.1400000000000001E-6</v>
      </c>
      <c r="EU12" s="10">
        <v>1.1400000000000001E-6</v>
      </c>
      <c r="EV12" s="10">
        <v>1.1400000000000001E-6</v>
      </c>
      <c r="EW12" s="10">
        <v>1.1400000000000001E-6</v>
      </c>
      <c r="EX12" s="10">
        <v>1.1400000000000001E-6</v>
      </c>
      <c r="EY12" s="10">
        <v>1.1400000000000001E-6</v>
      </c>
      <c r="EZ12" s="10">
        <v>1.1400000000000001E-6</v>
      </c>
      <c r="FA12" s="10">
        <v>1.1400000000000001E-6</v>
      </c>
      <c r="FB12" s="10">
        <v>1.1400000000000001E-6</v>
      </c>
      <c r="FC12" s="10">
        <v>1.1400000000000001E-6</v>
      </c>
      <c r="FD12" s="10">
        <v>1.1400000000000001E-6</v>
      </c>
      <c r="FE12" s="10">
        <v>1.1400000000000001E-6</v>
      </c>
      <c r="FF12" s="10">
        <v>1.1400000000000001E-6</v>
      </c>
      <c r="FG12" s="10">
        <v>1.1400000000000001E-6</v>
      </c>
      <c r="FH12" s="10">
        <v>1.1400000000000001E-6</v>
      </c>
      <c r="FI12" s="10">
        <v>1.1400000000000001E-6</v>
      </c>
      <c r="FJ12" s="10">
        <v>1.1400000000000001E-6</v>
      </c>
      <c r="FK12" s="10">
        <v>1.1400000000000001E-6</v>
      </c>
    </row>
    <row r="13" spans="3:167" x14ac:dyDescent="0.2">
      <c r="C13" s="10">
        <f t="shared" si="9"/>
        <v>9.630000114440918</v>
      </c>
      <c r="D13" s="10">
        <f t="shared" si="10"/>
        <v>38</v>
      </c>
      <c r="E13" s="10" cm="1">
        <f t="array" ref="E13">gavg(AF13,EL13)</f>
        <v>25.656292888243886</v>
      </c>
      <c r="F13" s="10" cm="1">
        <f t="array" ref="F13">lnstdev(AF13,EL13)</f>
        <v>0.60813518042105075</v>
      </c>
      <c r="G13" s="10">
        <f t="shared" si="11"/>
        <v>111</v>
      </c>
      <c r="H13" s="10">
        <f t="shared" si="12"/>
        <v>11.413</v>
      </c>
      <c r="I13" s="10">
        <f t="shared" si="13"/>
        <v>11.413</v>
      </c>
      <c r="J13" s="10"/>
      <c r="K13" s="10"/>
      <c r="L13" s="10">
        <f t="shared" si="14"/>
        <v>10</v>
      </c>
      <c r="M13" s="10">
        <f t="shared" si="15"/>
        <v>9.630000114440918</v>
      </c>
      <c r="N13" s="10">
        <f t="shared" si="16"/>
        <v>9.630000114440918</v>
      </c>
      <c r="O13" s="10">
        <f t="shared" si="17"/>
        <v>23</v>
      </c>
      <c r="P13" s="10">
        <f t="shared" si="18"/>
        <v>38</v>
      </c>
      <c r="Q13" s="10">
        <f t="shared" si="19"/>
        <v>38</v>
      </c>
      <c r="R13" s="10">
        <f t="shared" si="20"/>
        <v>29</v>
      </c>
      <c r="S13" s="10">
        <f t="shared" si="21"/>
        <v>38</v>
      </c>
      <c r="T13" s="10">
        <f t="shared" si="22"/>
        <v>38</v>
      </c>
      <c r="U13" s="10">
        <f t="shared" si="23"/>
        <v>31</v>
      </c>
      <c r="V13" s="10">
        <f t="shared" si="0"/>
        <v>38</v>
      </c>
      <c r="W13" s="10">
        <f t="shared" si="1"/>
        <v>38</v>
      </c>
      <c r="X13" s="10">
        <f t="shared" si="2"/>
        <v>18</v>
      </c>
      <c r="Y13" s="10">
        <f t="shared" si="3"/>
        <v>38</v>
      </c>
      <c r="Z13" s="10">
        <f t="shared" si="4"/>
        <v>38</v>
      </c>
      <c r="AA13" s="10">
        <f t="shared" si="5"/>
        <v>4</v>
      </c>
      <c r="AB13" s="10">
        <f t="shared" si="6"/>
        <v>38</v>
      </c>
      <c r="AC13" s="10">
        <f t="shared" si="7"/>
        <v>38</v>
      </c>
      <c r="AD13" s="10">
        <f t="shared" si="8"/>
        <v>14</v>
      </c>
      <c r="AE13" t="s">
        <v>92</v>
      </c>
      <c r="AF13" s="10">
        <v>11.413</v>
      </c>
      <c r="AG13" s="10">
        <v>11.413</v>
      </c>
      <c r="AH13" s="10">
        <v>11.413</v>
      </c>
      <c r="AI13" s="10">
        <v>11.413</v>
      </c>
      <c r="AJ13" s="10">
        <v>11.413</v>
      </c>
      <c r="AK13" s="10">
        <v>11.413</v>
      </c>
      <c r="AL13" s="10">
        <v>11.413</v>
      </c>
      <c r="AM13" s="10">
        <v>11.413</v>
      </c>
      <c r="AN13" s="10">
        <v>11.413</v>
      </c>
      <c r="AO13" s="10">
        <v>11.413</v>
      </c>
      <c r="AP13" s="10">
        <v>9.630000114440918</v>
      </c>
      <c r="AQ13" s="10">
        <v>9.630000114440918</v>
      </c>
      <c r="AR13" s="10">
        <v>9.630000114440918</v>
      </c>
      <c r="AS13" s="10">
        <v>9.630000114440918</v>
      </c>
      <c r="AT13" s="10">
        <v>9.630000114440918</v>
      </c>
      <c r="AU13" s="10">
        <v>9.630000114440918</v>
      </c>
      <c r="AV13" s="10">
        <v>9.630000114440918</v>
      </c>
      <c r="AW13" s="10">
        <v>9.630000114440918</v>
      </c>
      <c r="AX13" s="10">
        <v>9.630000114440918</v>
      </c>
      <c r="AY13" s="10">
        <v>9.630000114440918</v>
      </c>
      <c r="AZ13" s="10">
        <v>9.630000114440918</v>
      </c>
      <c r="BA13" s="10">
        <v>9.630000114440918</v>
      </c>
      <c r="BB13" s="10">
        <v>9.630000114440918</v>
      </c>
      <c r="BC13" s="10">
        <v>9.630000114440918</v>
      </c>
      <c r="BD13" s="10">
        <v>9.630000114440918</v>
      </c>
      <c r="BE13" s="10">
        <v>9.630000114440918</v>
      </c>
      <c r="BF13" s="10">
        <v>9.630000114440918</v>
      </c>
      <c r="BG13" s="10">
        <v>9.630000114440918</v>
      </c>
      <c r="BH13" s="10">
        <v>9.630000114440918</v>
      </c>
      <c r="BI13" s="10">
        <v>9.630000114440918</v>
      </c>
      <c r="BJ13" s="10">
        <v>9.630000114440918</v>
      </c>
      <c r="BK13" s="10">
        <v>9.630000114440918</v>
      </c>
      <c r="BL13" s="10">
        <v>9.630000114440918</v>
      </c>
      <c r="BM13" s="10">
        <v>38</v>
      </c>
      <c r="BN13" s="10">
        <v>38</v>
      </c>
      <c r="BO13" s="10">
        <v>38</v>
      </c>
      <c r="BP13" s="10">
        <v>38</v>
      </c>
      <c r="BQ13" s="10">
        <v>38</v>
      </c>
      <c r="BR13" s="10">
        <v>38</v>
      </c>
      <c r="BS13" s="10">
        <v>38</v>
      </c>
      <c r="BT13" s="10">
        <v>38</v>
      </c>
      <c r="BU13" s="10">
        <v>38</v>
      </c>
      <c r="BV13" s="10">
        <v>38</v>
      </c>
      <c r="BW13" s="10">
        <v>38</v>
      </c>
      <c r="BX13" s="10">
        <v>38</v>
      </c>
      <c r="BY13" s="10">
        <v>38</v>
      </c>
      <c r="BZ13" s="10">
        <v>38</v>
      </c>
      <c r="CA13" s="10">
        <v>38</v>
      </c>
      <c r="CB13" s="10">
        <v>38</v>
      </c>
      <c r="CC13" s="10">
        <v>38</v>
      </c>
      <c r="CD13" s="10">
        <v>38</v>
      </c>
      <c r="CE13" s="10">
        <v>38</v>
      </c>
      <c r="CF13" s="10">
        <v>38</v>
      </c>
      <c r="CG13" s="10">
        <v>38</v>
      </c>
      <c r="CH13" s="10">
        <v>38</v>
      </c>
      <c r="CI13" s="10">
        <v>38</v>
      </c>
      <c r="CJ13" s="10">
        <v>38</v>
      </c>
      <c r="CK13" s="10">
        <v>38</v>
      </c>
      <c r="CL13" s="10">
        <v>38</v>
      </c>
      <c r="CM13" s="10">
        <v>38</v>
      </c>
      <c r="CN13" s="10">
        <v>38</v>
      </c>
      <c r="CO13" s="10">
        <v>38</v>
      </c>
      <c r="CP13" s="10">
        <v>38</v>
      </c>
      <c r="CQ13" s="10">
        <v>38</v>
      </c>
      <c r="CR13" s="10">
        <v>38</v>
      </c>
      <c r="CS13" s="10">
        <v>38</v>
      </c>
      <c r="CT13" s="10">
        <v>38</v>
      </c>
      <c r="CU13" s="10">
        <v>38</v>
      </c>
      <c r="CV13" s="10">
        <v>38</v>
      </c>
      <c r="CW13" s="10">
        <v>38</v>
      </c>
      <c r="CX13" s="10">
        <v>38</v>
      </c>
      <c r="CY13" s="10">
        <v>38</v>
      </c>
      <c r="CZ13" s="10">
        <v>38</v>
      </c>
      <c r="DA13" s="10">
        <v>38</v>
      </c>
      <c r="DB13" s="10">
        <v>38</v>
      </c>
      <c r="DC13" s="10">
        <v>38</v>
      </c>
      <c r="DD13" s="10">
        <v>38</v>
      </c>
      <c r="DE13" s="10">
        <v>38</v>
      </c>
      <c r="DF13" s="10">
        <v>38</v>
      </c>
      <c r="DG13" s="10">
        <v>38</v>
      </c>
      <c r="DH13" s="10">
        <v>38</v>
      </c>
      <c r="DI13" s="10">
        <v>38</v>
      </c>
      <c r="DJ13" s="10">
        <v>38</v>
      </c>
      <c r="DK13" s="10">
        <v>38</v>
      </c>
      <c r="DL13" s="10">
        <v>38</v>
      </c>
      <c r="DM13" s="10">
        <v>38</v>
      </c>
      <c r="DN13" s="10">
        <v>38</v>
      </c>
      <c r="DO13" s="10">
        <v>38</v>
      </c>
      <c r="DP13" s="10">
        <v>38</v>
      </c>
      <c r="DQ13" s="10">
        <v>38</v>
      </c>
      <c r="DR13" s="10">
        <v>38</v>
      </c>
      <c r="DS13" s="10">
        <v>38</v>
      </c>
      <c r="DT13" s="10">
        <v>38</v>
      </c>
      <c r="DU13" s="10">
        <v>38</v>
      </c>
      <c r="DV13" s="10">
        <v>38</v>
      </c>
      <c r="DW13" s="10">
        <v>38</v>
      </c>
      <c r="DX13" s="10">
        <v>38</v>
      </c>
      <c r="DY13" s="10">
        <v>38</v>
      </c>
      <c r="DZ13" s="10">
        <v>38</v>
      </c>
      <c r="EA13" s="10">
        <v>38</v>
      </c>
      <c r="EB13" s="10">
        <v>38</v>
      </c>
      <c r="EC13" s="10">
        <v>38</v>
      </c>
      <c r="ED13" s="10">
        <v>38</v>
      </c>
      <c r="EE13" s="10">
        <v>38</v>
      </c>
      <c r="EF13" s="10">
        <v>38</v>
      </c>
      <c r="EG13" s="10">
        <v>38</v>
      </c>
      <c r="EH13" s="10">
        <v>38</v>
      </c>
      <c r="EI13" s="10">
        <v>38</v>
      </c>
      <c r="EJ13" s="10">
        <v>38</v>
      </c>
      <c r="EK13" s="10">
        <v>38</v>
      </c>
      <c r="EL13" s="10">
        <v>38</v>
      </c>
      <c r="EM13" s="10">
        <v>38</v>
      </c>
      <c r="EN13" s="10">
        <v>38</v>
      </c>
      <c r="EO13" s="10">
        <v>38</v>
      </c>
      <c r="EP13" s="10">
        <v>38</v>
      </c>
      <c r="EQ13" s="10">
        <v>38</v>
      </c>
      <c r="ER13" s="10">
        <v>38</v>
      </c>
      <c r="ES13" s="10">
        <v>38</v>
      </c>
      <c r="ET13" s="10">
        <v>38</v>
      </c>
      <c r="EU13" s="10">
        <v>38</v>
      </c>
      <c r="EV13" s="10">
        <v>38</v>
      </c>
      <c r="EW13" s="10">
        <v>38</v>
      </c>
      <c r="EX13" s="10">
        <v>38</v>
      </c>
      <c r="EY13" s="10">
        <v>38</v>
      </c>
      <c r="EZ13" s="10">
        <v>38</v>
      </c>
      <c r="FA13" s="10">
        <v>38</v>
      </c>
      <c r="FB13" s="10">
        <v>38</v>
      </c>
      <c r="FC13" s="10">
        <v>38</v>
      </c>
      <c r="FD13" s="10">
        <v>38</v>
      </c>
      <c r="FE13" s="10">
        <v>38</v>
      </c>
      <c r="FF13" s="10">
        <v>38</v>
      </c>
      <c r="FG13" s="10">
        <v>38</v>
      </c>
      <c r="FH13" s="10">
        <v>38</v>
      </c>
      <c r="FI13" s="10">
        <v>38</v>
      </c>
      <c r="FJ13" s="10">
        <v>38</v>
      </c>
      <c r="FK13" s="10">
        <v>38</v>
      </c>
    </row>
    <row r="14" spans="3:167" x14ac:dyDescent="0.2">
      <c r="C14" s="10">
        <f t="shared" si="9"/>
        <v>9.630000114440918</v>
      </c>
      <c r="D14" s="10">
        <f t="shared" si="10"/>
        <v>38</v>
      </c>
      <c r="E14" s="10" cm="1">
        <f t="array" ref="E14">gavg(AF14,EL14)</f>
        <v>25.656292888243886</v>
      </c>
      <c r="F14" s="10" cm="1">
        <f t="array" ref="F14">lnstdev(AF14,EL14)</f>
        <v>0.60813518042105075</v>
      </c>
      <c r="G14" s="10">
        <f t="shared" si="11"/>
        <v>111</v>
      </c>
      <c r="H14" s="10">
        <f t="shared" si="12"/>
        <v>11.413</v>
      </c>
      <c r="I14" s="10">
        <f t="shared" si="13"/>
        <v>11.413</v>
      </c>
      <c r="J14" s="10"/>
      <c r="K14" s="10"/>
      <c r="L14" s="10">
        <f t="shared" si="14"/>
        <v>10</v>
      </c>
      <c r="M14" s="10">
        <f t="shared" si="15"/>
        <v>9.630000114440918</v>
      </c>
      <c r="N14" s="10">
        <f t="shared" si="16"/>
        <v>9.630000114440918</v>
      </c>
      <c r="O14" s="10">
        <f t="shared" si="17"/>
        <v>23</v>
      </c>
      <c r="P14" s="10">
        <f t="shared" si="18"/>
        <v>38</v>
      </c>
      <c r="Q14" s="10">
        <f t="shared" si="19"/>
        <v>38</v>
      </c>
      <c r="R14" s="10">
        <f t="shared" si="20"/>
        <v>29</v>
      </c>
      <c r="S14" s="10">
        <f t="shared" si="21"/>
        <v>38</v>
      </c>
      <c r="T14" s="10">
        <f t="shared" si="22"/>
        <v>38</v>
      </c>
      <c r="U14" s="10">
        <f t="shared" si="23"/>
        <v>31</v>
      </c>
      <c r="V14" s="10">
        <f t="shared" si="0"/>
        <v>38</v>
      </c>
      <c r="W14" s="10">
        <f t="shared" si="1"/>
        <v>38</v>
      </c>
      <c r="X14" s="10">
        <f t="shared" si="2"/>
        <v>18</v>
      </c>
      <c r="Y14" s="10">
        <f t="shared" si="3"/>
        <v>38</v>
      </c>
      <c r="Z14" s="10">
        <f t="shared" si="4"/>
        <v>38</v>
      </c>
      <c r="AA14" s="10">
        <f t="shared" si="5"/>
        <v>4</v>
      </c>
      <c r="AB14" s="10">
        <f t="shared" si="6"/>
        <v>38</v>
      </c>
      <c r="AC14" s="10">
        <f t="shared" si="7"/>
        <v>38</v>
      </c>
      <c r="AD14" s="10">
        <f t="shared" si="8"/>
        <v>14</v>
      </c>
      <c r="AE14" t="s">
        <v>19</v>
      </c>
      <c r="AF14" s="10">
        <v>11.413</v>
      </c>
      <c r="AG14" s="10">
        <v>11.413</v>
      </c>
      <c r="AH14" s="10">
        <v>11.413</v>
      </c>
      <c r="AI14" s="10">
        <v>11.413</v>
      </c>
      <c r="AJ14" s="10">
        <v>11.413</v>
      </c>
      <c r="AK14" s="10">
        <v>11.413</v>
      </c>
      <c r="AL14" s="10">
        <v>11.413</v>
      </c>
      <c r="AM14" s="10">
        <v>11.413</v>
      </c>
      <c r="AN14" s="10">
        <v>11.413</v>
      </c>
      <c r="AO14" s="10">
        <v>11.413</v>
      </c>
      <c r="AP14" s="10">
        <v>9.630000114440918</v>
      </c>
      <c r="AQ14" s="10">
        <v>9.630000114440918</v>
      </c>
      <c r="AR14" s="10">
        <v>9.630000114440918</v>
      </c>
      <c r="AS14" s="10">
        <v>9.630000114440918</v>
      </c>
      <c r="AT14" s="10">
        <v>9.630000114440918</v>
      </c>
      <c r="AU14" s="10">
        <v>9.630000114440918</v>
      </c>
      <c r="AV14" s="10">
        <v>9.630000114440918</v>
      </c>
      <c r="AW14" s="10">
        <v>9.630000114440918</v>
      </c>
      <c r="AX14" s="10">
        <v>9.630000114440918</v>
      </c>
      <c r="AY14" s="10">
        <v>9.630000114440918</v>
      </c>
      <c r="AZ14" s="10">
        <v>9.630000114440918</v>
      </c>
      <c r="BA14" s="10">
        <v>9.630000114440918</v>
      </c>
      <c r="BB14" s="10">
        <v>9.630000114440918</v>
      </c>
      <c r="BC14" s="10">
        <v>9.630000114440918</v>
      </c>
      <c r="BD14" s="10">
        <v>9.630000114440918</v>
      </c>
      <c r="BE14" s="10">
        <v>9.630000114440918</v>
      </c>
      <c r="BF14" s="10">
        <v>9.630000114440918</v>
      </c>
      <c r="BG14" s="10">
        <v>9.630000114440918</v>
      </c>
      <c r="BH14" s="10">
        <v>9.630000114440918</v>
      </c>
      <c r="BI14" s="10">
        <v>9.630000114440918</v>
      </c>
      <c r="BJ14" s="10">
        <v>9.630000114440918</v>
      </c>
      <c r="BK14" s="10">
        <v>9.630000114440918</v>
      </c>
      <c r="BL14" s="10">
        <v>9.630000114440918</v>
      </c>
      <c r="BM14" s="10">
        <v>38</v>
      </c>
      <c r="BN14" s="10">
        <v>38</v>
      </c>
      <c r="BO14" s="10">
        <v>38</v>
      </c>
      <c r="BP14" s="10">
        <v>38</v>
      </c>
      <c r="BQ14" s="10">
        <v>38</v>
      </c>
      <c r="BR14" s="10">
        <v>38</v>
      </c>
      <c r="BS14" s="10">
        <v>38</v>
      </c>
      <c r="BT14" s="10">
        <v>38</v>
      </c>
      <c r="BU14" s="10">
        <v>38</v>
      </c>
      <c r="BV14" s="10">
        <v>38</v>
      </c>
      <c r="BW14" s="10">
        <v>38</v>
      </c>
      <c r="BX14" s="10">
        <v>38</v>
      </c>
      <c r="BY14" s="10">
        <v>38</v>
      </c>
      <c r="BZ14" s="10">
        <v>38</v>
      </c>
      <c r="CA14" s="10">
        <v>38</v>
      </c>
      <c r="CB14" s="10">
        <v>38</v>
      </c>
      <c r="CC14" s="10">
        <v>38</v>
      </c>
      <c r="CD14" s="10">
        <v>38</v>
      </c>
      <c r="CE14" s="10">
        <v>38</v>
      </c>
      <c r="CF14" s="10">
        <v>38</v>
      </c>
      <c r="CG14" s="10">
        <v>38</v>
      </c>
      <c r="CH14" s="10">
        <v>38</v>
      </c>
      <c r="CI14" s="10">
        <v>38</v>
      </c>
      <c r="CJ14" s="10">
        <v>38</v>
      </c>
      <c r="CK14" s="10">
        <v>38</v>
      </c>
      <c r="CL14" s="10">
        <v>38</v>
      </c>
      <c r="CM14" s="10">
        <v>38</v>
      </c>
      <c r="CN14" s="10">
        <v>38</v>
      </c>
      <c r="CO14" s="10">
        <v>38</v>
      </c>
      <c r="CP14" s="10">
        <v>38</v>
      </c>
      <c r="CQ14" s="10">
        <v>38</v>
      </c>
      <c r="CR14" s="10">
        <v>38</v>
      </c>
      <c r="CS14" s="10">
        <v>38</v>
      </c>
      <c r="CT14" s="10">
        <v>38</v>
      </c>
      <c r="CU14" s="10">
        <v>38</v>
      </c>
      <c r="CV14" s="10">
        <v>38</v>
      </c>
      <c r="CW14" s="10">
        <v>38</v>
      </c>
      <c r="CX14" s="10">
        <v>38</v>
      </c>
      <c r="CY14" s="10">
        <v>38</v>
      </c>
      <c r="CZ14" s="10">
        <v>38</v>
      </c>
      <c r="DA14" s="10">
        <v>38</v>
      </c>
      <c r="DB14" s="10">
        <v>38</v>
      </c>
      <c r="DC14" s="10">
        <v>38</v>
      </c>
      <c r="DD14" s="10">
        <v>38</v>
      </c>
      <c r="DE14" s="10">
        <v>38</v>
      </c>
      <c r="DF14" s="10">
        <v>38</v>
      </c>
      <c r="DG14" s="10">
        <v>38</v>
      </c>
      <c r="DH14" s="10">
        <v>38</v>
      </c>
      <c r="DI14" s="10">
        <v>38</v>
      </c>
      <c r="DJ14" s="10">
        <v>38</v>
      </c>
      <c r="DK14" s="10">
        <v>38</v>
      </c>
      <c r="DL14" s="10">
        <v>38</v>
      </c>
      <c r="DM14" s="10">
        <v>38</v>
      </c>
      <c r="DN14" s="10">
        <v>38</v>
      </c>
      <c r="DO14" s="10">
        <v>38</v>
      </c>
      <c r="DP14" s="10">
        <v>38</v>
      </c>
      <c r="DQ14" s="10">
        <v>38</v>
      </c>
      <c r="DR14" s="10">
        <v>38</v>
      </c>
      <c r="DS14" s="10">
        <v>38</v>
      </c>
      <c r="DT14" s="10">
        <v>38</v>
      </c>
      <c r="DU14" s="10">
        <v>38</v>
      </c>
      <c r="DV14" s="10">
        <v>38</v>
      </c>
      <c r="DW14" s="10">
        <v>38</v>
      </c>
      <c r="DX14" s="10">
        <v>38</v>
      </c>
      <c r="DY14" s="10">
        <v>38</v>
      </c>
      <c r="DZ14" s="10">
        <v>38</v>
      </c>
      <c r="EA14" s="10">
        <v>38</v>
      </c>
      <c r="EB14" s="10">
        <v>38</v>
      </c>
      <c r="EC14" s="10">
        <v>38</v>
      </c>
      <c r="ED14" s="10">
        <v>38</v>
      </c>
      <c r="EE14" s="10">
        <v>38</v>
      </c>
      <c r="EF14" s="10">
        <v>38</v>
      </c>
      <c r="EG14" s="10">
        <v>38</v>
      </c>
      <c r="EH14" s="10">
        <v>38</v>
      </c>
      <c r="EI14" s="10">
        <v>38</v>
      </c>
      <c r="EJ14" s="10">
        <v>38</v>
      </c>
      <c r="EK14" s="10">
        <v>38</v>
      </c>
      <c r="EL14" s="10">
        <v>38</v>
      </c>
      <c r="EM14" s="10">
        <v>0.38</v>
      </c>
      <c r="EN14" s="10">
        <v>0.38</v>
      </c>
      <c r="EO14" s="10">
        <v>0.38</v>
      </c>
      <c r="EP14" s="10">
        <v>0.38</v>
      </c>
      <c r="EQ14" s="10">
        <v>0.38</v>
      </c>
      <c r="ER14" s="10">
        <v>1.9000000000000001</v>
      </c>
      <c r="ES14" s="10">
        <v>1.9000000000000001</v>
      </c>
      <c r="ET14" s="10">
        <v>1.9000000000000001</v>
      </c>
      <c r="EU14" s="10">
        <v>1.9000000000000001</v>
      </c>
      <c r="EV14" s="10">
        <v>1.9000000000000001</v>
      </c>
      <c r="EW14" s="10">
        <v>5.7</v>
      </c>
      <c r="EX14" s="10">
        <v>5.7</v>
      </c>
      <c r="EY14" s="10">
        <v>5.7</v>
      </c>
      <c r="EZ14" s="10">
        <v>5.7</v>
      </c>
      <c r="FA14" s="10">
        <v>5.7</v>
      </c>
      <c r="FB14" s="10">
        <v>9.5</v>
      </c>
      <c r="FC14" s="10">
        <v>9.5</v>
      </c>
      <c r="FD14" s="10">
        <v>9.5</v>
      </c>
      <c r="FE14" s="10">
        <v>9.5</v>
      </c>
      <c r="FF14" s="10">
        <v>9.5</v>
      </c>
      <c r="FG14" s="10">
        <v>19.760000000000002</v>
      </c>
      <c r="FH14" s="10">
        <v>19.760000000000002</v>
      </c>
      <c r="FI14" s="10">
        <v>19.760000000000002</v>
      </c>
      <c r="FJ14" s="10">
        <v>19.760000000000002</v>
      </c>
      <c r="FK14" s="10">
        <v>19.760000000000002</v>
      </c>
    </row>
    <row r="15" spans="3:167" s="20" customFormat="1" x14ac:dyDescent="0.2">
      <c r="C15" s="19">
        <f t="shared" si="9"/>
        <v>5.3569429000000002E-2</v>
      </c>
      <c r="D15" s="19">
        <f t="shared" si="10"/>
        <v>3.446650505065918</v>
      </c>
      <c r="E15" s="10" cm="1">
        <f t="array" ref="E15">gavg(AF15,EL15)</f>
        <v>0.84258935553325631</v>
      </c>
      <c r="F15" s="19" cm="1">
        <f t="array" ref="F15">lnstdev(AF15,EL15)</f>
        <v>0.89087813185750786</v>
      </c>
      <c r="G15" s="10">
        <f t="shared" si="11"/>
        <v>111</v>
      </c>
      <c r="H15" s="19">
        <f t="shared" si="12"/>
        <v>5.3569429000000002E-2</v>
      </c>
      <c r="I15" s="19">
        <f t="shared" si="13"/>
        <v>0.27871802000000001</v>
      </c>
      <c r="J15" s="19"/>
      <c r="K15" s="19"/>
      <c r="L15" s="10">
        <f t="shared" si="14"/>
        <v>10</v>
      </c>
      <c r="M15" s="19">
        <f t="shared" si="15"/>
        <v>0.20087282359600067</v>
      </c>
      <c r="N15" s="19">
        <f t="shared" si="16"/>
        <v>2.2364563941955566</v>
      </c>
      <c r="O15" s="10">
        <f t="shared" si="17"/>
        <v>23</v>
      </c>
      <c r="P15" s="19">
        <f t="shared" si="18"/>
        <v>0.44856220483779907</v>
      </c>
      <c r="Q15" s="19">
        <f t="shared" si="19"/>
        <v>3.446650505065918</v>
      </c>
      <c r="R15" s="10">
        <f t="shared" si="20"/>
        <v>29</v>
      </c>
      <c r="S15" s="19">
        <f t="shared" si="21"/>
        <v>0.20030678808689117</v>
      </c>
      <c r="T15" s="19">
        <f t="shared" si="22"/>
        <v>2.5053212642669678</v>
      </c>
      <c r="U15" s="10">
        <f t="shared" si="23"/>
        <v>31</v>
      </c>
      <c r="V15" s="10">
        <f t="shared" si="0"/>
        <v>0.250459223985672</v>
      </c>
      <c r="W15" s="10">
        <f t="shared" si="1"/>
        <v>1.6026508808135986</v>
      </c>
      <c r="X15" s="10">
        <f t="shared" si="2"/>
        <v>18</v>
      </c>
      <c r="Y15" s="10">
        <f t="shared" si="3"/>
        <v>0.50090962648391724</v>
      </c>
      <c r="Z15" s="10">
        <f t="shared" si="4"/>
        <v>1.6026508808135986</v>
      </c>
      <c r="AA15" s="10">
        <f t="shared" si="5"/>
        <v>4</v>
      </c>
      <c r="AB15" s="10">
        <f t="shared" si="6"/>
        <v>0.250459223985672</v>
      </c>
      <c r="AC15" s="10">
        <f t="shared" si="7"/>
        <v>1.6024593114852905</v>
      </c>
      <c r="AD15" s="10">
        <f t="shared" si="8"/>
        <v>14</v>
      </c>
      <c r="AE15" s="20" t="s">
        <v>114</v>
      </c>
      <c r="AF15" s="19">
        <v>5.3569429000000002E-2</v>
      </c>
      <c r="AG15" s="19">
        <v>7.6310723999999996E-2</v>
      </c>
      <c r="AH15" s="19">
        <v>0.10400824</v>
      </c>
      <c r="AI15" s="19">
        <v>0.12648946</v>
      </c>
      <c r="AJ15" s="19">
        <v>0.14995199000000001</v>
      </c>
      <c r="AK15" s="19">
        <v>0.17767422999999999</v>
      </c>
      <c r="AL15" s="19">
        <v>0.20070730000000001</v>
      </c>
      <c r="AM15" s="19">
        <v>0.22718111999999999</v>
      </c>
      <c r="AN15" s="19">
        <v>0.25109841999999999</v>
      </c>
      <c r="AO15" s="19">
        <v>0.27871802000000001</v>
      </c>
      <c r="AP15" s="19">
        <v>0.20087282359600067</v>
      </c>
      <c r="AQ15" s="19">
        <v>0.28604555130004883</v>
      </c>
      <c r="AR15" s="19">
        <v>0.42433568835258484</v>
      </c>
      <c r="AS15" s="19">
        <v>0.55840349197387695</v>
      </c>
      <c r="AT15" s="19">
        <v>0.69476926326751709</v>
      </c>
      <c r="AU15" s="19">
        <v>0.83159905672073364</v>
      </c>
      <c r="AV15" s="19">
        <v>0.9654618501663208</v>
      </c>
      <c r="AW15" s="19">
        <v>1.0952917337417603</v>
      </c>
      <c r="AX15" s="19">
        <v>1.0977518558502197</v>
      </c>
      <c r="AY15" s="19">
        <v>1.22954261302948</v>
      </c>
      <c r="AZ15" s="19">
        <v>1.3676134347915649</v>
      </c>
      <c r="BA15" s="19">
        <v>1.4932482242584229</v>
      </c>
      <c r="BB15" s="19">
        <v>1.6238362789154053</v>
      </c>
      <c r="BC15" s="19">
        <v>1.7516083717346191</v>
      </c>
      <c r="BD15" s="19">
        <v>1.8647265434265137</v>
      </c>
      <c r="BE15" s="19">
        <v>1.9864689111709595</v>
      </c>
      <c r="BF15" s="19">
        <v>2.1147608757019043</v>
      </c>
      <c r="BG15" s="19">
        <v>2.2364563941955566</v>
      </c>
      <c r="BH15" s="19">
        <v>1.8651405572891235</v>
      </c>
      <c r="BI15" s="19">
        <v>0.24598591029644012</v>
      </c>
      <c r="BJ15" s="19">
        <v>0.35580438375473022</v>
      </c>
      <c r="BK15" s="19">
        <v>0.2880118191242218</v>
      </c>
      <c r="BL15" s="19">
        <v>0.49112808704376221</v>
      </c>
      <c r="BM15" s="19">
        <v>0.44856220483779907</v>
      </c>
      <c r="BN15" s="19">
        <v>0.92403054237365723</v>
      </c>
      <c r="BO15" s="19">
        <v>1.8710379600524902</v>
      </c>
      <c r="BP15" s="19">
        <v>0.5008435845375061</v>
      </c>
      <c r="BQ15" s="19">
        <v>0.60097414255142212</v>
      </c>
      <c r="BR15" s="19">
        <v>0.70093482732772827</v>
      </c>
      <c r="BS15" s="19">
        <v>0.80134904384613037</v>
      </c>
      <c r="BT15" s="19">
        <v>0.90119600296020508</v>
      </c>
      <c r="BU15" s="19">
        <v>1.0015329122543335</v>
      </c>
      <c r="BV15" s="19">
        <v>1.1017732620239258</v>
      </c>
      <c r="BW15" s="19">
        <v>1.3020737171173096</v>
      </c>
      <c r="BX15" s="19">
        <v>1.4022067785263062</v>
      </c>
      <c r="BY15" s="19">
        <v>1.5024144649505615</v>
      </c>
      <c r="BZ15" s="19">
        <v>0.50095325708389282</v>
      </c>
      <c r="CA15" s="19">
        <v>1.00178062915802</v>
      </c>
      <c r="CB15" s="19">
        <v>0.97661840915679932</v>
      </c>
      <c r="CC15" s="19">
        <v>1.4780524969100952</v>
      </c>
      <c r="CD15" s="19">
        <v>1.6025959253311157</v>
      </c>
      <c r="CE15" s="19">
        <v>1.7026375532150269</v>
      </c>
      <c r="CF15" s="19">
        <v>1.8028578758239746</v>
      </c>
      <c r="CG15" s="19">
        <v>2.103290319442749</v>
      </c>
      <c r="CH15" s="19">
        <v>2.5038430690765381</v>
      </c>
      <c r="CI15" s="19">
        <v>2.7036552429199219</v>
      </c>
      <c r="CJ15" s="19">
        <v>2.9042861461639404</v>
      </c>
      <c r="CK15" s="19">
        <v>3.1045362949371338</v>
      </c>
      <c r="CL15" s="19">
        <v>3.2498927116394043</v>
      </c>
      <c r="CM15" s="19">
        <v>3.4440603256225586</v>
      </c>
      <c r="CN15" s="19">
        <v>3.446650505065918</v>
      </c>
      <c r="CO15" s="19">
        <v>3.4466476440429688</v>
      </c>
      <c r="CP15" s="19">
        <v>0.40065386891365051</v>
      </c>
      <c r="CQ15" s="19">
        <v>0.50083988904953003</v>
      </c>
      <c r="CR15" s="19">
        <v>0.60123592615127563</v>
      </c>
      <c r="CS15" s="19">
        <v>0.70104509592056274</v>
      </c>
      <c r="CT15" s="19">
        <v>0.8012998104095459</v>
      </c>
      <c r="CU15" s="19">
        <v>0.90152251720428467</v>
      </c>
      <c r="CV15" s="19">
        <v>1.0014716386795044</v>
      </c>
      <c r="CW15" s="19">
        <v>1.1018638610839844</v>
      </c>
      <c r="CX15" s="19">
        <v>1.2018378973007202</v>
      </c>
      <c r="CY15" s="19">
        <v>1.3023033142089844</v>
      </c>
      <c r="CZ15" s="19">
        <v>1.4021662473678589</v>
      </c>
      <c r="DA15" s="19">
        <v>1.5025618076324463</v>
      </c>
      <c r="DB15" s="19">
        <v>1.6023633480072021</v>
      </c>
      <c r="DC15" s="19">
        <v>2.0037081241607666</v>
      </c>
      <c r="DD15" s="19">
        <v>1.6023215055465698</v>
      </c>
      <c r="DE15" s="19">
        <v>0.30047741532325745</v>
      </c>
      <c r="DF15" s="19">
        <v>0.30052876472473145</v>
      </c>
      <c r="DG15" s="19">
        <v>0.50070291757583618</v>
      </c>
      <c r="DH15" s="19">
        <v>1.7028695344924927</v>
      </c>
      <c r="DI15" s="19">
        <v>1.9033850431442261</v>
      </c>
      <c r="DJ15" s="19">
        <v>2.1032319068908691</v>
      </c>
      <c r="DK15" s="19">
        <v>2.3042130470275879</v>
      </c>
      <c r="DL15" s="19">
        <v>2.5053212642669678</v>
      </c>
      <c r="DM15" s="19">
        <v>0.20030678808689117</v>
      </c>
      <c r="DN15" s="19">
        <v>0.30051252245903015</v>
      </c>
      <c r="DO15" s="19">
        <v>0.24047505855560303</v>
      </c>
      <c r="DP15" s="19">
        <v>0.3606320321559906</v>
      </c>
      <c r="DQ15" s="19">
        <v>0.28044894337654114</v>
      </c>
      <c r="DR15" s="19">
        <v>1.5023767948150635</v>
      </c>
      <c r="DS15" s="19">
        <v>1.8030019998550415</v>
      </c>
      <c r="DT15" s="19">
        <v>1.1018079519271851</v>
      </c>
      <c r="DU15" s="19">
        <v>1.0016748905181885</v>
      </c>
      <c r="DV15" s="19">
        <v>0.50090962648391724</v>
      </c>
      <c r="DW15" s="19">
        <v>1.2020779848098755</v>
      </c>
      <c r="DX15" s="19">
        <v>1.6026508808135986</v>
      </c>
      <c r="DY15" s="19">
        <v>0.250459223985672</v>
      </c>
      <c r="DZ15" s="19">
        <v>0.50080621242523193</v>
      </c>
      <c r="EA15" s="19">
        <v>0.6009441614151001</v>
      </c>
      <c r="EB15" s="19">
        <v>0.70124542713165283</v>
      </c>
      <c r="EC15" s="19">
        <v>0.80143260955810547</v>
      </c>
      <c r="ED15" s="19">
        <v>0.90141499042510986</v>
      </c>
      <c r="EE15" s="19">
        <v>1.0018694400787354</v>
      </c>
      <c r="EF15" s="19">
        <v>1.1019154787063599</v>
      </c>
      <c r="EG15" s="19">
        <v>1.1020965576171875</v>
      </c>
      <c r="EH15" s="19">
        <v>1.3022284507751465</v>
      </c>
      <c r="EI15" s="19">
        <v>1.5026930570602417</v>
      </c>
      <c r="EJ15" s="19">
        <v>1.6024593114852905</v>
      </c>
      <c r="EK15" s="19">
        <v>1.4020607471466064</v>
      </c>
      <c r="EL15" s="19">
        <v>1.2018802165985107</v>
      </c>
      <c r="EM15" s="19">
        <v>0.25047382712364197</v>
      </c>
      <c r="EN15" s="19">
        <v>0.50080865621566772</v>
      </c>
      <c r="EO15" s="19">
        <v>1.001657247543335</v>
      </c>
      <c r="EP15" s="19">
        <v>1.2520946264266968</v>
      </c>
      <c r="EQ15" s="19">
        <v>1.502372145652771</v>
      </c>
      <c r="ER15" s="19">
        <v>0.25046184659004211</v>
      </c>
      <c r="ES15" s="19">
        <v>0.50086063146591187</v>
      </c>
      <c r="ET15" s="19">
        <v>1.0016878843307495</v>
      </c>
      <c r="EU15" s="19">
        <v>1.252015233039856</v>
      </c>
      <c r="EV15" s="19">
        <v>1.5025912523269653</v>
      </c>
      <c r="EW15" s="19">
        <v>0.25048568844795227</v>
      </c>
      <c r="EX15" s="19">
        <v>0.50086349248886108</v>
      </c>
      <c r="EY15" s="19">
        <v>1.0016975402832031</v>
      </c>
      <c r="EZ15" s="19">
        <v>1.2519700527191162</v>
      </c>
      <c r="FA15" s="19">
        <v>1.5024389028549194</v>
      </c>
      <c r="FB15" s="19">
        <v>0.25042390823364258</v>
      </c>
      <c r="FC15" s="19">
        <v>0.50088685750961304</v>
      </c>
      <c r="FD15" s="19">
        <v>1.0016542673110962</v>
      </c>
      <c r="FE15" s="19">
        <v>1.2521625757217407</v>
      </c>
      <c r="FF15" s="19">
        <v>1.5026869773864746</v>
      </c>
      <c r="FG15" s="19">
        <v>0.25044867396354675</v>
      </c>
      <c r="FH15" s="19">
        <v>0.50090640783309937</v>
      </c>
      <c r="FI15" s="19">
        <v>1.0017025470733643</v>
      </c>
      <c r="FJ15" s="19">
        <v>1.2521840333938599</v>
      </c>
      <c r="FK15" s="19">
        <v>1.5029236078262329</v>
      </c>
    </row>
    <row r="16" spans="3:167" x14ac:dyDescent="0.2">
      <c r="C16" s="10">
        <f t="shared" si="9"/>
        <v>1.3660797849297523E-3</v>
      </c>
      <c r="D16" s="10">
        <f t="shared" si="10"/>
        <v>0.10443980991840363</v>
      </c>
      <c r="E16" s="10" cm="1">
        <f t="array" ref="E16">gavg(AF16,EL16)</f>
        <v>3.8520884760681459E-3</v>
      </c>
      <c r="F16" s="10" cm="1">
        <f t="array" ref="F16">lnstdev(AF16,EL16)</f>
        <v>0.94395227449685271</v>
      </c>
      <c r="G16" s="10">
        <f t="shared" si="11"/>
        <v>111</v>
      </c>
      <c r="H16" s="10">
        <f t="shared" si="12"/>
        <v>3.0065553999999999E-3</v>
      </c>
      <c r="I16" s="10">
        <f t="shared" si="13"/>
        <v>9.7797037999999992E-3</v>
      </c>
      <c r="J16" s="10"/>
      <c r="K16" s="10"/>
      <c r="L16" s="10">
        <f t="shared" si="14"/>
        <v>10</v>
      </c>
      <c r="M16" s="10">
        <f t="shared" si="15"/>
        <v>7.9763066023588181E-3</v>
      </c>
      <c r="N16" s="10">
        <f t="shared" si="16"/>
        <v>0.10443980991840363</v>
      </c>
      <c r="O16" s="10">
        <f t="shared" si="17"/>
        <v>23</v>
      </c>
      <c r="P16" s="10">
        <f t="shared" si="18"/>
        <v>1.3901757774874568E-3</v>
      </c>
      <c r="Q16" s="10">
        <f t="shared" si="19"/>
        <v>5.5546686053276062E-3</v>
      </c>
      <c r="R16" s="10">
        <f t="shared" si="20"/>
        <v>29</v>
      </c>
      <c r="S16" s="10">
        <f t="shared" si="21"/>
        <v>1.4037787914276123E-3</v>
      </c>
      <c r="T16" s="10">
        <f t="shared" si="22"/>
        <v>4.4897128827869892E-3</v>
      </c>
      <c r="U16" s="10">
        <f t="shared" si="23"/>
        <v>31</v>
      </c>
      <c r="V16" s="10">
        <f t="shared" si="0"/>
        <v>1.3660797849297523E-3</v>
      </c>
      <c r="W16" s="10">
        <f t="shared" si="1"/>
        <v>3.8881734944880009E-3</v>
      </c>
      <c r="X16" s="10">
        <f t="shared" si="2"/>
        <v>18</v>
      </c>
      <c r="Y16" s="10">
        <f t="shared" si="3"/>
        <v>1.4041636604815722E-3</v>
      </c>
      <c r="Z16" s="10">
        <f t="shared" si="4"/>
        <v>3.6217104643583298E-3</v>
      </c>
      <c r="AA16" s="10">
        <f t="shared" si="5"/>
        <v>4</v>
      </c>
      <c r="AB16" s="10">
        <f t="shared" si="6"/>
        <v>1.3660797849297523E-3</v>
      </c>
      <c r="AC16" s="10">
        <f t="shared" si="7"/>
        <v>3.8881734944880009E-3</v>
      </c>
      <c r="AD16" s="10">
        <f t="shared" si="8"/>
        <v>14</v>
      </c>
      <c r="AE16" t="s">
        <v>96</v>
      </c>
      <c r="AF16" s="10">
        <v>3.0065553999999999E-3</v>
      </c>
      <c r="AG16" s="10">
        <v>3.0363982000000001E-3</v>
      </c>
      <c r="AH16" s="10">
        <v>3.6033290000000002E-3</v>
      </c>
      <c r="AI16" s="10">
        <v>4.3419799999999996E-3</v>
      </c>
      <c r="AJ16" s="10">
        <v>5.0467434000000004E-3</v>
      </c>
      <c r="AK16" s="10">
        <v>6.3816193000000004E-3</v>
      </c>
      <c r="AL16" s="10">
        <v>8.4888991000000007E-3</v>
      </c>
      <c r="AM16" s="10">
        <v>8.8262493000000001E-3</v>
      </c>
      <c r="AN16" s="10">
        <v>8.7247499999999999E-3</v>
      </c>
      <c r="AO16" s="10">
        <v>9.7797037999999992E-3</v>
      </c>
      <c r="AP16" s="10">
        <v>1.1063303798437119E-2</v>
      </c>
      <c r="AQ16" s="10">
        <v>8.7286652997136116E-3</v>
      </c>
      <c r="AR16" s="10">
        <v>8.2651190459728241E-3</v>
      </c>
      <c r="AS16" s="10">
        <v>8.2574356347322464E-3</v>
      </c>
      <c r="AT16" s="10">
        <v>1.4105574227869511E-2</v>
      </c>
      <c r="AU16" s="10">
        <v>1.4542999677360058E-2</v>
      </c>
      <c r="AV16" s="10">
        <v>2.3104209452867508E-2</v>
      </c>
      <c r="AW16" s="10">
        <v>2.6482332497835159E-2</v>
      </c>
      <c r="AX16" s="10">
        <v>1.1107441037893295E-2</v>
      </c>
      <c r="AY16" s="10">
        <v>3.1514357775449753E-2</v>
      </c>
      <c r="AZ16" s="10">
        <v>1.5815839171409607E-2</v>
      </c>
      <c r="BA16" s="10">
        <v>2.3363126441836357E-2</v>
      </c>
      <c r="BB16" s="10">
        <v>1.8757542595267296E-2</v>
      </c>
      <c r="BC16" s="10">
        <v>3.7473861128091812E-2</v>
      </c>
      <c r="BD16" s="10">
        <v>0.10443980991840363</v>
      </c>
      <c r="BE16" s="10">
        <v>2.8111075982451439E-2</v>
      </c>
      <c r="BF16" s="10">
        <v>1.9454099237918854E-2</v>
      </c>
      <c r="BG16" s="10">
        <v>2.1486060693860054E-2</v>
      </c>
      <c r="BH16" s="10">
        <v>9.5987290143966675E-2</v>
      </c>
      <c r="BI16" s="10">
        <v>8.7473848834633827E-3</v>
      </c>
      <c r="BJ16" s="10">
        <v>7.9763066023588181E-3</v>
      </c>
      <c r="BK16" s="10">
        <v>8.5102878510951996E-3</v>
      </c>
      <c r="BL16" s="10">
        <v>1.0241026058793068E-2</v>
      </c>
      <c r="BM16" s="10">
        <v>3.1541336793452501E-3</v>
      </c>
      <c r="BN16" s="10">
        <v>2.6897098869085312E-3</v>
      </c>
      <c r="BO16" s="10">
        <v>3.6426049191504717E-3</v>
      </c>
      <c r="BP16" s="10">
        <v>1.6872017877176404E-3</v>
      </c>
      <c r="BQ16" s="10">
        <v>1.5993182314559817E-3</v>
      </c>
      <c r="BR16" s="10">
        <v>1.7305182991549373E-3</v>
      </c>
      <c r="BS16" s="10">
        <v>2.043853746727109E-3</v>
      </c>
      <c r="BT16" s="10">
        <v>1.3901757774874568E-3</v>
      </c>
      <c r="BU16" s="10">
        <v>2.2195102646946907E-3</v>
      </c>
      <c r="BV16" s="10">
        <v>2.187635749578476E-3</v>
      </c>
      <c r="BW16" s="10">
        <v>2.3205534089356661E-3</v>
      </c>
      <c r="BX16" s="10">
        <v>2.3734974674880505E-3</v>
      </c>
      <c r="BY16" s="10">
        <v>1.8333306070417166E-3</v>
      </c>
      <c r="BZ16" s="10">
        <v>1.6166936838999391E-3</v>
      </c>
      <c r="CA16" s="10">
        <v>2.3801024071872234E-3</v>
      </c>
      <c r="CB16" s="10">
        <v>1.5689032152295113E-3</v>
      </c>
      <c r="CC16" s="10">
        <v>2.6797621976584196E-3</v>
      </c>
      <c r="CD16" s="10">
        <v>3.0418515671044588E-3</v>
      </c>
      <c r="CE16" s="10">
        <v>2.8420458547770977E-3</v>
      </c>
      <c r="CF16" s="10">
        <v>3.0145877972245216E-3</v>
      </c>
      <c r="CG16" s="10">
        <v>3.5779511090368032E-3</v>
      </c>
      <c r="CH16" s="10">
        <v>4.284377209842205E-3</v>
      </c>
      <c r="CI16" s="10">
        <v>3.5979833919554949E-3</v>
      </c>
      <c r="CJ16" s="10">
        <v>4.4012125581502914E-3</v>
      </c>
      <c r="CK16" s="10">
        <v>4.3109678663313389E-3</v>
      </c>
      <c r="CL16" s="10">
        <v>3.615780733525753E-3</v>
      </c>
      <c r="CM16" s="10">
        <v>4.2853830382227898E-3</v>
      </c>
      <c r="CN16" s="10">
        <v>3.5161781124770641E-3</v>
      </c>
      <c r="CO16" s="10">
        <v>5.5546686053276062E-3</v>
      </c>
      <c r="CP16" s="10">
        <v>1.5405368758365512E-3</v>
      </c>
      <c r="CQ16" s="10">
        <v>2.2566306870430708E-3</v>
      </c>
      <c r="CR16" s="10">
        <v>1.6218379605561495E-3</v>
      </c>
      <c r="CS16" s="10">
        <v>1.4037787914276123E-3</v>
      </c>
      <c r="CT16" s="10">
        <v>1.6726753674447536E-3</v>
      </c>
      <c r="CU16" s="10">
        <v>1.8595256842672825E-3</v>
      </c>
      <c r="CV16" s="10">
        <v>1.7630263464525342E-3</v>
      </c>
      <c r="CW16" s="10">
        <v>1.7915369244292378E-3</v>
      </c>
      <c r="CX16" s="10">
        <v>2.2097940091043711E-3</v>
      </c>
      <c r="CY16" s="10">
        <v>2.3172991350293159E-3</v>
      </c>
      <c r="CZ16" s="10">
        <v>2.3825934622436762E-3</v>
      </c>
      <c r="DA16" s="10">
        <v>2.6763323694467545E-3</v>
      </c>
      <c r="DB16" s="10">
        <v>2.0439205691218376E-3</v>
      </c>
      <c r="DC16" s="10">
        <v>4.1672028601169586E-3</v>
      </c>
      <c r="DD16" s="10">
        <v>2.648703521117568E-3</v>
      </c>
      <c r="DE16" s="10">
        <v>1.9961830694228411E-3</v>
      </c>
      <c r="DF16" s="10">
        <v>1.8375845393165946E-3</v>
      </c>
      <c r="DG16" s="10">
        <v>1.5765249263495207E-3</v>
      </c>
      <c r="DH16" s="10">
        <v>2.6891538873314857E-3</v>
      </c>
      <c r="DI16" s="10">
        <v>3.6658381577581167E-3</v>
      </c>
      <c r="DJ16" s="10">
        <v>4.2716688476502895E-3</v>
      </c>
      <c r="DK16" s="10">
        <v>4.3299132958054543E-3</v>
      </c>
      <c r="DL16" s="10">
        <v>4.4897128827869892E-3</v>
      </c>
      <c r="DM16" s="10">
        <v>1.437215250916779E-3</v>
      </c>
      <c r="DN16" s="10">
        <v>1.973362173885107E-3</v>
      </c>
      <c r="DO16" s="10">
        <v>1.6058642650023103E-3</v>
      </c>
      <c r="DP16" s="10">
        <v>1.4216894051060081E-3</v>
      </c>
      <c r="DQ16" s="10">
        <v>1.9715705420821905E-3</v>
      </c>
      <c r="DR16" s="10">
        <v>2.071284456178546E-3</v>
      </c>
      <c r="DS16" s="10">
        <v>3.257727948948741E-3</v>
      </c>
      <c r="DT16" s="10">
        <v>1.9554565660655499E-3</v>
      </c>
      <c r="DU16" s="10">
        <v>2.0023034885525703E-3</v>
      </c>
      <c r="DV16" s="10">
        <v>1.4041636604815722E-3</v>
      </c>
      <c r="DW16" s="10">
        <v>2.4357610382139683E-3</v>
      </c>
      <c r="DX16" s="10">
        <v>3.6217104643583298E-3</v>
      </c>
      <c r="DY16" s="10">
        <v>1.732115400955081E-3</v>
      </c>
      <c r="DZ16" s="10">
        <v>1.5273162862285972E-3</v>
      </c>
      <c r="EA16" s="10">
        <v>1.3660797849297523E-3</v>
      </c>
      <c r="EB16" s="10">
        <v>1.6672105994075537E-3</v>
      </c>
      <c r="EC16" s="10">
        <v>1.654229941777885E-3</v>
      </c>
      <c r="ED16" s="10">
        <v>1.5339391538873315E-3</v>
      </c>
      <c r="EE16" s="10">
        <v>2.2752666845917702E-3</v>
      </c>
      <c r="EF16" s="10">
        <v>2.1125613711774349E-3</v>
      </c>
      <c r="EG16" s="10">
        <v>1.9773393869400024E-3</v>
      </c>
      <c r="EH16" s="10">
        <v>2.6755344588309526E-3</v>
      </c>
      <c r="EI16" s="10">
        <v>3.8881734944880009E-3</v>
      </c>
      <c r="EJ16" s="10">
        <v>2.7277639601379633E-3</v>
      </c>
      <c r="EK16" s="10">
        <v>2.5213162880390882E-3</v>
      </c>
      <c r="EL16" s="10">
        <v>2.0538314711302519E-3</v>
      </c>
      <c r="EM16" s="10">
        <v>1.6033749561756849E-3</v>
      </c>
      <c r="EN16" s="10">
        <v>1.5083776088431478E-3</v>
      </c>
      <c r="EO16" s="10">
        <v>1.7607228364795446E-3</v>
      </c>
      <c r="EP16" s="10">
        <v>2.3116865195333958E-3</v>
      </c>
      <c r="EQ16" s="10">
        <v>2.7087894268333912E-3</v>
      </c>
      <c r="ER16" s="10">
        <v>1.4782393118366599E-3</v>
      </c>
      <c r="ES16" s="10">
        <v>1.5897441189736128E-3</v>
      </c>
      <c r="ET16" s="10">
        <v>1.7870813608169556E-3</v>
      </c>
      <c r="EU16" s="10">
        <v>2.4324646219611168E-3</v>
      </c>
      <c r="EV16" s="10">
        <v>2.8390376828610897E-3</v>
      </c>
      <c r="EW16" s="10">
        <v>1.7294725403189659E-3</v>
      </c>
      <c r="EX16" s="10">
        <v>1.4895835192874074E-3</v>
      </c>
      <c r="EY16" s="10">
        <v>1.8717669881880283E-3</v>
      </c>
      <c r="EZ16" s="10">
        <v>2.1588532254099846E-3</v>
      </c>
      <c r="FA16" s="10">
        <v>3.1540310010313988E-3</v>
      </c>
      <c r="FB16" s="10">
        <v>1.7192597733810544E-3</v>
      </c>
      <c r="FC16" s="10">
        <v>1.5364669961854815E-3</v>
      </c>
      <c r="FD16" s="10">
        <v>1.9765857141464949E-3</v>
      </c>
      <c r="FE16" s="10">
        <v>2.6290458627045155E-3</v>
      </c>
      <c r="FF16" s="10">
        <v>2.7161845937371254E-3</v>
      </c>
      <c r="FG16" s="10">
        <v>1.7096522497013211E-3</v>
      </c>
      <c r="FH16" s="10">
        <v>1.5409132465720177E-3</v>
      </c>
      <c r="FI16" s="10">
        <v>1.6744344029575586E-3</v>
      </c>
      <c r="FJ16" s="10">
        <v>2.7482344303280115E-3</v>
      </c>
      <c r="FK16" s="10">
        <v>3.1000198796391487E-3</v>
      </c>
    </row>
    <row r="17" spans="3:167" x14ac:dyDescent="0.2">
      <c r="C17" s="10">
        <f t="shared" si="9"/>
        <v>32700000000</v>
      </c>
      <c r="D17" s="10">
        <f t="shared" si="10"/>
        <v>105000000000</v>
      </c>
      <c r="E17" s="10" cm="1">
        <f t="array" ref="E17">gavg(AF17,EL17)</f>
        <v>47187854330.023674</v>
      </c>
      <c r="F17" s="10" cm="1">
        <f t="array" ref="F17">lnstdev(AF17,EL17)</f>
        <v>0.51217771871734852</v>
      </c>
      <c r="G17" s="10">
        <f t="shared" si="11"/>
        <v>111</v>
      </c>
      <c r="H17" s="10">
        <f t="shared" si="12"/>
        <v>105000000000</v>
      </c>
      <c r="I17" s="10">
        <f t="shared" si="13"/>
        <v>105000000000</v>
      </c>
      <c r="J17" s="10"/>
      <c r="K17" s="10"/>
      <c r="L17" s="10">
        <f t="shared" si="14"/>
        <v>10</v>
      </c>
      <c r="M17" s="10">
        <f t="shared" si="15"/>
        <v>102499999744</v>
      </c>
      <c r="N17" s="10">
        <f t="shared" si="16"/>
        <v>102499999744</v>
      </c>
      <c r="O17" s="10">
        <f t="shared" si="17"/>
        <v>23</v>
      </c>
      <c r="P17" s="10">
        <f t="shared" si="18"/>
        <v>32700000000</v>
      </c>
      <c r="Q17" s="10">
        <f t="shared" si="19"/>
        <v>32700000000</v>
      </c>
      <c r="R17" s="10">
        <f t="shared" si="20"/>
        <v>29</v>
      </c>
      <c r="S17" s="10">
        <f t="shared" si="21"/>
        <v>34600000000</v>
      </c>
      <c r="T17" s="10">
        <f t="shared" si="22"/>
        <v>34600000000</v>
      </c>
      <c r="U17" s="10">
        <f t="shared" si="23"/>
        <v>31</v>
      </c>
      <c r="V17" s="10">
        <f t="shared" si="0"/>
        <v>34600000000</v>
      </c>
      <c r="W17" s="10">
        <f t="shared" si="1"/>
        <v>34600000000</v>
      </c>
      <c r="X17" s="10">
        <f t="shared" si="2"/>
        <v>18</v>
      </c>
      <c r="Y17" s="10">
        <f t="shared" si="3"/>
        <v>34600000000</v>
      </c>
      <c r="Z17" s="10">
        <f t="shared" si="4"/>
        <v>34600000000</v>
      </c>
      <c r="AA17" s="10">
        <f t="shared" si="5"/>
        <v>4</v>
      </c>
      <c r="AB17" s="10">
        <f t="shared" si="6"/>
        <v>34600000000</v>
      </c>
      <c r="AC17" s="10">
        <f t="shared" si="7"/>
        <v>34600000000</v>
      </c>
      <c r="AD17" s="10">
        <f t="shared" si="8"/>
        <v>14</v>
      </c>
      <c r="AE17" t="s">
        <v>98</v>
      </c>
      <c r="AF17" s="10">
        <v>105000000000</v>
      </c>
      <c r="AG17" s="10">
        <v>105000000000</v>
      </c>
      <c r="AH17" s="10">
        <v>105000000000</v>
      </c>
      <c r="AI17" s="10">
        <v>105000000000</v>
      </c>
      <c r="AJ17" s="10">
        <v>105000000000</v>
      </c>
      <c r="AK17" s="10">
        <v>105000000000</v>
      </c>
      <c r="AL17" s="10">
        <v>105000000000</v>
      </c>
      <c r="AM17" s="10">
        <v>105000000000</v>
      </c>
      <c r="AN17" s="10">
        <v>105000000000</v>
      </c>
      <c r="AO17" s="10">
        <v>105000000000</v>
      </c>
      <c r="AP17" s="10">
        <v>102499999744</v>
      </c>
      <c r="AQ17" s="10">
        <v>102499999744</v>
      </c>
      <c r="AR17" s="10">
        <v>102499999744</v>
      </c>
      <c r="AS17" s="10">
        <v>102499999744</v>
      </c>
      <c r="AT17" s="10">
        <v>102499999744</v>
      </c>
      <c r="AU17" s="10">
        <v>102499999744</v>
      </c>
      <c r="AV17" s="10">
        <v>102499999744</v>
      </c>
      <c r="AW17" s="10">
        <v>102499999744</v>
      </c>
      <c r="AX17" s="10">
        <v>102499999744</v>
      </c>
      <c r="AY17" s="10">
        <v>102499999744</v>
      </c>
      <c r="AZ17" s="10">
        <v>102499999744</v>
      </c>
      <c r="BA17" s="10">
        <v>102499999744</v>
      </c>
      <c r="BB17" s="10">
        <v>102499999744</v>
      </c>
      <c r="BC17" s="10">
        <v>102499999744</v>
      </c>
      <c r="BD17" s="10">
        <v>102499999744</v>
      </c>
      <c r="BE17" s="10">
        <v>102499999744</v>
      </c>
      <c r="BF17" s="10">
        <v>102499999744</v>
      </c>
      <c r="BG17" s="10">
        <v>102499999744</v>
      </c>
      <c r="BH17" s="10">
        <v>102499999744</v>
      </c>
      <c r="BI17" s="10">
        <v>102499999744</v>
      </c>
      <c r="BJ17" s="10">
        <v>102499999744</v>
      </c>
      <c r="BK17" s="10">
        <v>102499999744</v>
      </c>
      <c r="BL17" s="10">
        <v>102499999744</v>
      </c>
      <c r="BM17" s="10">
        <v>32700000000</v>
      </c>
      <c r="BN17" s="10">
        <v>32700000000</v>
      </c>
      <c r="BO17" s="10">
        <v>32700000000</v>
      </c>
      <c r="BP17" s="10">
        <v>32700000000</v>
      </c>
      <c r="BQ17" s="10">
        <v>32700000000</v>
      </c>
      <c r="BR17" s="10">
        <v>32700000000</v>
      </c>
      <c r="BS17" s="10">
        <v>32700000000</v>
      </c>
      <c r="BT17" s="10">
        <v>32700000000</v>
      </c>
      <c r="BU17" s="10">
        <v>32700000000</v>
      </c>
      <c r="BV17" s="10">
        <v>32700000000</v>
      </c>
      <c r="BW17" s="10">
        <v>32700000000</v>
      </c>
      <c r="BX17" s="10">
        <v>32700000000</v>
      </c>
      <c r="BY17" s="10">
        <v>32700000000</v>
      </c>
      <c r="BZ17" s="10">
        <v>32700000000</v>
      </c>
      <c r="CA17" s="10">
        <v>32700000000</v>
      </c>
      <c r="CB17" s="10">
        <v>32700000000</v>
      </c>
      <c r="CC17" s="10">
        <v>32700000000</v>
      </c>
      <c r="CD17" s="10">
        <v>32700000000</v>
      </c>
      <c r="CE17" s="10">
        <v>32700000000</v>
      </c>
      <c r="CF17" s="10">
        <v>32700000000</v>
      </c>
      <c r="CG17" s="10">
        <v>32700000000</v>
      </c>
      <c r="CH17" s="10">
        <v>32700000000</v>
      </c>
      <c r="CI17" s="10">
        <v>32700000000</v>
      </c>
      <c r="CJ17" s="10">
        <v>32700000000</v>
      </c>
      <c r="CK17" s="10">
        <v>32700000000</v>
      </c>
      <c r="CL17" s="10">
        <v>32700000000</v>
      </c>
      <c r="CM17" s="10">
        <v>32700000000</v>
      </c>
      <c r="CN17" s="10">
        <v>32700000000</v>
      </c>
      <c r="CO17" s="10">
        <v>32700000000</v>
      </c>
      <c r="CP17" s="10">
        <v>34600000000</v>
      </c>
      <c r="CQ17" s="10">
        <v>34600000000</v>
      </c>
      <c r="CR17" s="10">
        <v>34600000000</v>
      </c>
      <c r="CS17" s="10">
        <v>34600000000</v>
      </c>
      <c r="CT17" s="10">
        <v>34600000000</v>
      </c>
      <c r="CU17" s="10">
        <v>34600000000</v>
      </c>
      <c r="CV17" s="10">
        <v>34600000000</v>
      </c>
      <c r="CW17" s="10">
        <v>34600000000</v>
      </c>
      <c r="CX17" s="10">
        <v>34600000000</v>
      </c>
      <c r="CY17" s="10">
        <v>34600000000</v>
      </c>
      <c r="CZ17" s="10">
        <v>34600000000</v>
      </c>
      <c r="DA17" s="10">
        <v>34600000000</v>
      </c>
      <c r="DB17" s="10">
        <v>34600000000</v>
      </c>
      <c r="DC17" s="10">
        <v>34600000000</v>
      </c>
      <c r="DD17" s="10">
        <v>34600000000</v>
      </c>
      <c r="DE17" s="10">
        <v>34600000000</v>
      </c>
      <c r="DF17" s="10">
        <v>34600000000</v>
      </c>
      <c r="DG17" s="10">
        <v>34600000000</v>
      </c>
      <c r="DH17" s="10">
        <v>34600000000</v>
      </c>
      <c r="DI17" s="10">
        <v>34600000000</v>
      </c>
      <c r="DJ17" s="10">
        <v>34600000000</v>
      </c>
      <c r="DK17" s="10">
        <v>34600000000</v>
      </c>
      <c r="DL17" s="10">
        <v>34600000000</v>
      </c>
      <c r="DM17" s="10">
        <v>34600000000</v>
      </c>
      <c r="DN17" s="10">
        <v>34600000000</v>
      </c>
      <c r="DO17" s="10">
        <v>34600000000</v>
      </c>
      <c r="DP17" s="10">
        <v>34600000000</v>
      </c>
      <c r="DQ17" s="10">
        <v>34600000000</v>
      </c>
      <c r="DR17" s="10">
        <v>34600000000</v>
      </c>
      <c r="DS17" s="10">
        <v>34600000000</v>
      </c>
      <c r="DT17" s="10">
        <v>34600000000</v>
      </c>
      <c r="DU17" s="10">
        <v>34600000000</v>
      </c>
      <c r="DV17" s="10">
        <v>34600000000</v>
      </c>
      <c r="DW17" s="10">
        <v>34600000000</v>
      </c>
      <c r="DX17" s="10">
        <v>34600000000</v>
      </c>
      <c r="DY17" s="10">
        <v>34600000000</v>
      </c>
      <c r="DZ17" s="10">
        <v>34600000000</v>
      </c>
      <c r="EA17" s="10">
        <v>34600000000</v>
      </c>
      <c r="EB17" s="10">
        <v>34600000000</v>
      </c>
      <c r="EC17" s="10">
        <v>34600000000</v>
      </c>
      <c r="ED17" s="10">
        <v>34600000000</v>
      </c>
      <c r="EE17" s="10">
        <v>34600000000</v>
      </c>
      <c r="EF17" s="10">
        <v>34600000000</v>
      </c>
      <c r="EG17" s="10">
        <v>34600000000</v>
      </c>
      <c r="EH17" s="10">
        <v>34600000000</v>
      </c>
      <c r="EI17" s="10">
        <v>34600000000</v>
      </c>
      <c r="EJ17" s="10">
        <v>34600000000</v>
      </c>
      <c r="EK17" s="10">
        <v>34600000000</v>
      </c>
      <c r="EL17" s="10">
        <v>34600000000</v>
      </c>
      <c r="EM17" s="10">
        <v>34600000000</v>
      </c>
      <c r="EN17" s="10">
        <v>34600000000</v>
      </c>
      <c r="EO17" s="10">
        <v>34600000000</v>
      </c>
      <c r="EP17" s="10">
        <v>34600000000</v>
      </c>
      <c r="EQ17" s="10">
        <v>34600000000</v>
      </c>
      <c r="ER17" s="10">
        <v>34600000000</v>
      </c>
      <c r="ES17" s="10">
        <v>34600000000</v>
      </c>
      <c r="ET17" s="10">
        <v>34600000000</v>
      </c>
      <c r="EU17" s="10">
        <v>34600000000</v>
      </c>
      <c r="EV17" s="10">
        <v>34600000000</v>
      </c>
      <c r="EW17" s="10">
        <v>34600000000</v>
      </c>
      <c r="EX17" s="10">
        <v>34600000000</v>
      </c>
      <c r="EY17" s="10">
        <v>34600000000</v>
      </c>
      <c r="EZ17" s="10">
        <v>34600000000</v>
      </c>
      <c r="FA17" s="10">
        <v>34600000000</v>
      </c>
      <c r="FB17" s="10">
        <v>34600000000</v>
      </c>
      <c r="FC17" s="10">
        <v>34600000000</v>
      </c>
      <c r="FD17" s="10">
        <v>34600000000</v>
      </c>
      <c r="FE17" s="10">
        <v>34600000000</v>
      </c>
      <c r="FF17" s="10">
        <v>34600000000</v>
      </c>
      <c r="FG17" s="10">
        <v>34600000000</v>
      </c>
      <c r="FH17" s="10">
        <v>34600000000</v>
      </c>
      <c r="FI17" s="10">
        <v>34600000000</v>
      </c>
      <c r="FJ17" s="10">
        <v>34600000000</v>
      </c>
      <c r="FK17" s="10">
        <v>34600000000</v>
      </c>
    </row>
    <row r="18" spans="3:167" x14ac:dyDescent="0.2">
      <c r="C18" s="10">
        <f t="shared" si="9"/>
        <v>16.100000000000001</v>
      </c>
      <c r="D18" s="10">
        <f t="shared" si="10"/>
        <v>572.29999999999995</v>
      </c>
      <c r="E18" s="10" cm="1">
        <f t="array" ref="E18">gavg(AF18,EL18)</f>
        <v>152.12322505222329</v>
      </c>
      <c r="F18" s="10" cm="1">
        <f t="array" ref="F18">lnstdev(AF18,EL18)</f>
        <v>1.4567729925727357</v>
      </c>
      <c r="G18" s="10">
        <f t="shared" si="11"/>
        <v>111</v>
      </c>
      <c r="H18" s="10">
        <f t="shared" si="12"/>
        <v>203</v>
      </c>
      <c r="I18" s="10">
        <f t="shared" si="13"/>
        <v>203</v>
      </c>
      <c r="J18" s="10"/>
      <c r="K18" s="10"/>
      <c r="L18" s="10">
        <f t="shared" si="14"/>
        <v>10</v>
      </c>
      <c r="M18" s="10">
        <f t="shared" si="15"/>
        <v>135.39999389648438</v>
      </c>
      <c r="N18" s="10">
        <f t="shared" si="16"/>
        <v>135.39999389648438</v>
      </c>
      <c r="O18" s="10">
        <f t="shared" si="17"/>
        <v>23</v>
      </c>
      <c r="P18" s="10">
        <f t="shared" si="18"/>
        <v>16.100000000000001</v>
      </c>
      <c r="Q18" s="10">
        <f t="shared" si="19"/>
        <v>16.100000000000001</v>
      </c>
      <c r="R18" s="10">
        <f t="shared" si="20"/>
        <v>29</v>
      </c>
      <c r="S18" s="10">
        <f t="shared" si="21"/>
        <v>572.29999999999995</v>
      </c>
      <c r="T18" s="10">
        <f t="shared" si="22"/>
        <v>572.29999999999995</v>
      </c>
      <c r="U18" s="10">
        <f t="shared" si="23"/>
        <v>31</v>
      </c>
      <c r="V18" s="10">
        <f t="shared" si="0"/>
        <v>572.29999999999995</v>
      </c>
      <c r="W18" s="10">
        <f t="shared" si="1"/>
        <v>572.29999999999995</v>
      </c>
      <c r="X18" s="10">
        <f t="shared" si="2"/>
        <v>18</v>
      </c>
      <c r="Y18" s="10">
        <f t="shared" si="3"/>
        <v>572.29999999999995</v>
      </c>
      <c r="Z18" s="10">
        <f t="shared" si="4"/>
        <v>572.29999999999995</v>
      </c>
      <c r="AA18" s="10">
        <f t="shared" si="5"/>
        <v>4</v>
      </c>
      <c r="AB18" s="10">
        <f t="shared" si="6"/>
        <v>572.29999999999995</v>
      </c>
      <c r="AC18" s="10">
        <f t="shared" si="7"/>
        <v>572.29999999999995</v>
      </c>
      <c r="AD18" s="10">
        <f t="shared" si="8"/>
        <v>14</v>
      </c>
      <c r="AE18" t="s">
        <v>99</v>
      </c>
      <c r="AF18" s="10">
        <v>203</v>
      </c>
      <c r="AG18" s="10">
        <v>203</v>
      </c>
      <c r="AH18" s="10">
        <v>203</v>
      </c>
      <c r="AI18" s="10">
        <v>203</v>
      </c>
      <c r="AJ18" s="10">
        <v>203</v>
      </c>
      <c r="AK18" s="10">
        <v>203</v>
      </c>
      <c r="AL18" s="10">
        <v>203</v>
      </c>
      <c r="AM18" s="10">
        <v>203</v>
      </c>
      <c r="AN18" s="10">
        <v>203</v>
      </c>
      <c r="AO18" s="10">
        <v>203</v>
      </c>
      <c r="AP18" s="10">
        <v>135.39999389648438</v>
      </c>
      <c r="AQ18" s="10">
        <v>135.39999389648438</v>
      </c>
      <c r="AR18" s="10">
        <v>135.39999389648438</v>
      </c>
      <c r="AS18" s="10">
        <v>135.39999389648438</v>
      </c>
      <c r="AT18" s="10">
        <v>135.39999389648438</v>
      </c>
      <c r="AU18" s="10">
        <v>135.39999389648438</v>
      </c>
      <c r="AV18" s="10">
        <v>135.39999389648438</v>
      </c>
      <c r="AW18" s="10">
        <v>135.39999389648438</v>
      </c>
      <c r="AX18" s="10">
        <v>135.39999389648438</v>
      </c>
      <c r="AY18" s="10">
        <v>135.39999389648438</v>
      </c>
      <c r="AZ18" s="10">
        <v>135.39999389648438</v>
      </c>
      <c r="BA18" s="10">
        <v>135.39999389648438</v>
      </c>
      <c r="BB18" s="10">
        <v>135.39999389648438</v>
      </c>
      <c r="BC18" s="10">
        <v>135.39999389648438</v>
      </c>
      <c r="BD18" s="10">
        <v>135.39999389648438</v>
      </c>
      <c r="BE18" s="10">
        <v>135.39999389648438</v>
      </c>
      <c r="BF18" s="10">
        <v>135.39999389648438</v>
      </c>
      <c r="BG18" s="10">
        <v>135.39999389648438</v>
      </c>
      <c r="BH18" s="10">
        <v>135.39999389648438</v>
      </c>
      <c r="BI18" s="10">
        <v>135.39999389648438</v>
      </c>
      <c r="BJ18" s="10">
        <v>135.39999389648438</v>
      </c>
      <c r="BK18" s="10">
        <v>135.39999389648438</v>
      </c>
      <c r="BL18" s="10">
        <v>135.39999389648438</v>
      </c>
      <c r="BM18" s="10">
        <v>16.100000000000001</v>
      </c>
      <c r="BN18" s="10">
        <v>16.100000000000001</v>
      </c>
      <c r="BO18" s="10">
        <v>16.100000000000001</v>
      </c>
      <c r="BP18" s="10">
        <v>16.100000000000001</v>
      </c>
      <c r="BQ18" s="10">
        <v>16.100000000000001</v>
      </c>
      <c r="BR18" s="10">
        <v>16.100000000000001</v>
      </c>
      <c r="BS18" s="10">
        <v>16.100000000000001</v>
      </c>
      <c r="BT18" s="10">
        <v>16.100000000000001</v>
      </c>
      <c r="BU18" s="10">
        <v>16.100000000000001</v>
      </c>
      <c r="BV18" s="10">
        <v>16.100000000000001</v>
      </c>
      <c r="BW18" s="10">
        <v>16.100000000000001</v>
      </c>
      <c r="BX18" s="10">
        <v>16.100000000000001</v>
      </c>
      <c r="BY18" s="10">
        <v>16.100000000000001</v>
      </c>
      <c r="BZ18" s="10">
        <v>16.100000000000001</v>
      </c>
      <c r="CA18" s="10">
        <v>16.100000000000001</v>
      </c>
      <c r="CB18" s="10">
        <v>16.100000000000001</v>
      </c>
      <c r="CC18" s="10">
        <v>16.100000000000001</v>
      </c>
      <c r="CD18" s="10">
        <v>16.100000000000001</v>
      </c>
      <c r="CE18" s="10">
        <v>16.100000000000001</v>
      </c>
      <c r="CF18" s="10">
        <v>16.100000000000001</v>
      </c>
      <c r="CG18" s="10">
        <v>16.100000000000001</v>
      </c>
      <c r="CH18" s="10">
        <v>16.100000000000001</v>
      </c>
      <c r="CI18" s="10">
        <v>16.100000000000001</v>
      </c>
      <c r="CJ18" s="10">
        <v>16.100000000000001</v>
      </c>
      <c r="CK18" s="10">
        <v>16.100000000000001</v>
      </c>
      <c r="CL18" s="10">
        <v>16.100000000000001</v>
      </c>
      <c r="CM18" s="10">
        <v>16.100000000000001</v>
      </c>
      <c r="CN18" s="10">
        <v>16.100000000000001</v>
      </c>
      <c r="CO18" s="10">
        <v>16.100000000000001</v>
      </c>
      <c r="CP18" s="10">
        <v>572.29999999999995</v>
      </c>
      <c r="CQ18" s="10">
        <v>572.29999999999995</v>
      </c>
      <c r="CR18" s="10">
        <v>572.29999999999995</v>
      </c>
      <c r="CS18" s="10">
        <v>572.29999999999995</v>
      </c>
      <c r="CT18" s="10">
        <v>572.29999999999995</v>
      </c>
      <c r="CU18" s="10">
        <v>572.29999999999995</v>
      </c>
      <c r="CV18" s="10">
        <v>572.29999999999995</v>
      </c>
      <c r="CW18" s="10">
        <v>572.29999999999995</v>
      </c>
      <c r="CX18" s="10">
        <v>572.29999999999995</v>
      </c>
      <c r="CY18" s="10">
        <v>572.29999999999995</v>
      </c>
      <c r="CZ18" s="10">
        <v>572.29999999999995</v>
      </c>
      <c r="DA18" s="10">
        <v>572.29999999999995</v>
      </c>
      <c r="DB18" s="10">
        <v>572.29999999999995</v>
      </c>
      <c r="DC18" s="10">
        <v>572.29999999999995</v>
      </c>
      <c r="DD18" s="10">
        <v>572.29999999999995</v>
      </c>
      <c r="DE18" s="10">
        <v>572.29999999999995</v>
      </c>
      <c r="DF18" s="10">
        <v>572.29999999999995</v>
      </c>
      <c r="DG18" s="10">
        <v>572.29999999999995</v>
      </c>
      <c r="DH18" s="10">
        <v>572.29999999999995</v>
      </c>
      <c r="DI18" s="10">
        <v>572.29999999999995</v>
      </c>
      <c r="DJ18" s="10">
        <v>572.29999999999995</v>
      </c>
      <c r="DK18" s="10">
        <v>572.29999999999995</v>
      </c>
      <c r="DL18" s="10">
        <v>572.29999999999995</v>
      </c>
      <c r="DM18" s="10">
        <v>572.29999999999995</v>
      </c>
      <c r="DN18" s="10">
        <v>572.29999999999995</v>
      </c>
      <c r="DO18" s="10">
        <v>572.29999999999995</v>
      </c>
      <c r="DP18" s="10">
        <v>572.29999999999995</v>
      </c>
      <c r="DQ18" s="10">
        <v>572.29999999999995</v>
      </c>
      <c r="DR18" s="10">
        <v>572.29999999999995</v>
      </c>
      <c r="DS18" s="10">
        <v>572.29999999999995</v>
      </c>
      <c r="DT18" s="10">
        <v>572.29999999999995</v>
      </c>
      <c r="DU18" s="10">
        <v>572.29999999999995</v>
      </c>
      <c r="DV18" s="10">
        <v>572.29999999999995</v>
      </c>
      <c r="DW18" s="10">
        <v>572.29999999999995</v>
      </c>
      <c r="DX18" s="10">
        <v>572.29999999999995</v>
      </c>
      <c r="DY18" s="10">
        <v>572.29999999999995</v>
      </c>
      <c r="DZ18" s="10">
        <v>572.29999999999995</v>
      </c>
      <c r="EA18" s="10">
        <v>572.29999999999995</v>
      </c>
      <c r="EB18" s="10">
        <v>572.29999999999995</v>
      </c>
      <c r="EC18" s="10">
        <v>572.29999999999995</v>
      </c>
      <c r="ED18" s="10">
        <v>572.29999999999995</v>
      </c>
      <c r="EE18" s="10">
        <v>572.29999999999995</v>
      </c>
      <c r="EF18" s="10">
        <v>572.29999999999995</v>
      </c>
      <c r="EG18" s="10">
        <v>572.29999999999995</v>
      </c>
      <c r="EH18" s="10">
        <v>572.29999999999995</v>
      </c>
      <c r="EI18" s="10">
        <v>572.29999999999995</v>
      </c>
      <c r="EJ18" s="10">
        <v>572.29999999999995</v>
      </c>
      <c r="EK18" s="10">
        <v>572.29999999999995</v>
      </c>
      <c r="EL18" s="10">
        <v>572.29999999999995</v>
      </c>
      <c r="EM18" s="10">
        <v>572.29999999999995</v>
      </c>
      <c r="EN18" s="10">
        <v>572.29999999999995</v>
      </c>
      <c r="EO18" s="10">
        <v>572.29999999999995</v>
      </c>
      <c r="EP18" s="10">
        <v>572.29999999999995</v>
      </c>
      <c r="EQ18" s="10">
        <v>572.29999999999995</v>
      </c>
      <c r="ER18" s="10">
        <v>572.29999999999995</v>
      </c>
      <c r="ES18" s="10">
        <v>572.29999999999995</v>
      </c>
      <c r="ET18" s="10">
        <v>572.29999999999995</v>
      </c>
      <c r="EU18" s="10">
        <v>572.29999999999995</v>
      </c>
      <c r="EV18" s="10">
        <v>572.29999999999995</v>
      </c>
      <c r="EW18" s="10">
        <v>572.29999999999995</v>
      </c>
      <c r="EX18" s="10">
        <v>572.29999999999995</v>
      </c>
      <c r="EY18" s="10">
        <v>572.29999999999995</v>
      </c>
      <c r="EZ18" s="10">
        <v>572.29999999999995</v>
      </c>
      <c r="FA18" s="10">
        <v>572.29999999999995</v>
      </c>
      <c r="FB18" s="10">
        <v>572.29999999999995</v>
      </c>
      <c r="FC18" s="10">
        <v>572.29999999999995</v>
      </c>
      <c r="FD18" s="10">
        <v>572.29999999999995</v>
      </c>
      <c r="FE18" s="10">
        <v>572.29999999999995</v>
      </c>
      <c r="FF18" s="10">
        <v>572.29999999999995</v>
      </c>
      <c r="FG18" s="10">
        <v>572.29999999999995</v>
      </c>
      <c r="FH18" s="10">
        <v>572.29999999999995</v>
      </c>
      <c r="FI18" s="10">
        <v>572.29999999999995</v>
      </c>
      <c r="FJ18" s="10">
        <v>572.29999999999995</v>
      </c>
      <c r="FK18" s="10">
        <v>572.29999999999995</v>
      </c>
    </row>
    <row r="19" spans="3:167" x14ac:dyDescent="0.2">
      <c r="C19" s="10">
        <f t="shared" si="9"/>
        <v>1000</v>
      </c>
      <c r="D19" s="10">
        <f t="shared" si="10"/>
        <v>1000</v>
      </c>
      <c r="E19" s="10" cm="1">
        <f t="array" ref="E19">gavg(AF19,EL19)</f>
        <v>999.99999999998204</v>
      </c>
      <c r="F19" s="10" cm="1">
        <f t="array" ref="F19">lnstdev(AF19,EL19)</f>
        <v>4.3998931589022397E-7</v>
      </c>
      <c r="G19" s="10">
        <f t="shared" si="11"/>
        <v>111</v>
      </c>
      <c r="H19" s="10">
        <f t="shared" si="12"/>
        <v>1000</v>
      </c>
      <c r="I19" s="10">
        <f t="shared" si="13"/>
        <v>1000</v>
      </c>
      <c r="J19" s="10"/>
      <c r="K19" s="10"/>
      <c r="L19" s="10">
        <f t="shared" si="14"/>
        <v>10</v>
      </c>
      <c r="M19" s="10">
        <f t="shared" si="15"/>
        <v>1000</v>
      </c>
      <c r="N19" s="10">
        <f t="shared" si="16"/>
        <v>1000</v>
      </c>
      <c r="O19" s="10">
        <f t="shared" si="17"/>
        <v>23</v>
      </c>
      <c r="P19" s="10">
        <f t="shared" si="18"/>
        <v>1000</v>
      </c>
      <c r="Q19" s="10">
        <f t="shared" si="19"/>
        <v>1000</v>
      </c>
      <c r="R19" s="10">
        <f t="shared" si="20"/>
        <v>29</v>
      </c>
      <c r="S19" s="10">
        <f t="shared" si="21"/>
        <v>1000</v>
      </c>
      <c r="T19" s="10">
        <f t="shared" si="22"/>
        <v>1000</v>
      </c>
      <c r="U19" s="10">
        <f t="shared" si="23"/>
        <v>31</v>
      </c>
      <c r="V19" s="10">
        <f t="shared" si="0"/>
        <v>1000</v>
      </c>
      <c r="W19" s="10">
        <f t="shared" si="1"/>
        <v>1000</v>
      </c>
      <c r="X19" s="10">
        <f t="shared" si="2"/>
        <v>18</v>
      </c>
      <c r="Y19" s="10">
        <f t="shared" si="3"/>
        <v>1000</v>
      </c>
      <c r="Z19" s="10">
        <f t="shared" si="4"/>
        <v>1000</v>
      </c>
      <c r="AA19" s="10">
        <f t="shared" si="5"/>
        <v>4</v>
      </c>
      <c r="AB19" s="10">
        <f t="shared" si="6"/>
        <v>1000</v>
      </c>
      <c r="AC19" s="10">
        <f t="shared" si="7"/>
        <v>1000</v>
      </c>
      <c r="AD19" s="10">
        <f t="shared" si="8"/>
        <v>14</v>
      </c>
      <c r="AE19" t="s">
        <v>101</v>
      </c>
      <c r="AF19" s="10">
        <v>1000</v>
      </c>
      <c r="AG19" s="10">
        <v>1000</v>
      </c>
      <c r="AH19" s="10">
        <v>1000</v>
      </c>
      <c r="AI19" s="10">
        <v>1000</v>
      </c>
      <c r="AJ19" s="10">
        <v>1000</v>
      </c>
      <c r="AK19" s="10">
        <v>1000</v>
      </c>
      <c r="AL19" s="10">
        <v>1000</v>
      </c>
      <c r="AM19" s="10">
        <v>1000</v>
      </c>
      <c r="AN19" s="10">
        <v>1000</v>
      </c>
      <c r="AO19" s="10">
        <v>1000</v>
      </c>
      <c r="AP19" s="10">
        <v>1000</v>
      </c>
      <c r="AQ19" s="10">
        <v>1000</v>
      </c>
      <c r="AR19" s="10">
        <v>1000</v>
      </c>
      <c r="AS19" s="10">
        <v>1000</v>
      </c>
      <c r="AT19" s="10">
        <v>1000</v>
      </c>
      <c r="AU19" s="10">
        <v>1000</v>
      </c>
      <c r="AV19" s="10">
        <v>1000</v>
      </c>
      <c r="AW19" s="10">
        <v>1000</v>
      </c>
      <c r="AX19" s="10">
        <v>1000</v>
      </c>
      <c r="AY19" s="10">
        <v>1000</v>
      </c>
      <c r="AZ19" s="10">
        <v>1000</v>
      </c>
      <c r="BA19" s="10">
        <v>1000</v>
      </c>
      <c r="BB19" s="10">
        <v>1000</v>
      </c>
      <c r="BC19" s="10">
        <v>1000</v>
      </c>
      <c r="BD19" s="10">
        <v>1000</v>
      </c>
      <c r="BE19" s="10">
        <v>1000</v>
      </c>
      <c r="BF19" s="10">
        <v>1000</v>
      </c>
      <c r="BG19" s="10">
        <v>1000</v>
      </c>
      <c r="BH19" s="10">
        <v>1000</v>
      </c>
      <c r="BI19" s="10">
        <v>1000</v>
      </c>
      <c r="BJ19" s="10">
        <v>1000</v>
      </c>
      <c r="BK19" s="10">
        <v>1000</v>
      </c>
      <c r="BL19" s="10">
        <v>1000</v>
      </c>
      <c r="BM19" s="10">
        <v>1000</v>
      </c>
      <c r="BN19" s="10">
        <v>1000</v>
      </c>
      <c r="BO19" s="10">
        <v>1000</v>
      </c>
      <c r="BP19" s="10">
        <v>1000</v>
      </c>
      <c r="BQ19" s="10">
        <v>1000</v>
      </c>
      <c r="BR19" s="10">
        <v>1000</v>
      </c>
      <c r="BS19" s="10">
        <v>1000</v>
      </c>
      <c r="BT19" s="10">
        <v>1000</v>
      </c>
      <c r="BU19" s="10">
        <v>1000</v>
      </c>
      <c r="BV19" s="10">
        <v>1000</v>
      </c>
      <c r="BW19" s="10">
        <v>1000</v>
      </c>
      <c r="BX19" s="10">
        <v>1000</v>
      </c>
      <c r="BY19" s="10">
        <v>1000</v>
      </c>
      <c r="BZ19" s="10">
        <v>1000</v>
      </c>
      <c r="CA19" s="10">
        <v>1000</v>
      </c>
      <c r="CB19" s="10">
        <v>1000</v>
      </c>
      <c r="CC19" s="10">
        <v>1000</v>
      </c>
      <c r="CD19" s="10">
        <v>1000</v>
      </c>
      <c r="CE19" s="10">
        <v>1000</v>
      </c>
      <c r="CF19" s="10">
        <v>1000</v>
      </c>
      <c r="CG19" s="10">
        <v>1000</v>
      </c>
      <c r="CH19" s="10">
        <v>1000</v>
      </c>
      <c r="CI19" s="10">
        <v>1000</v>
      </c>
      <c r="CJ19" s="10">
        <v>1000</v>
      </c>
      <c r="CK19" s="10">
        <v>1000</v>
      </c>
      <c r="CL19" s="10">
        <v>1000</v>
      </c>
      <c r="CM19" s="10">
        <v>1000</v>
      </c>
      <c r="CN19" s="10">
        <v>1000</v>
      </c>
      <c r="CO19" s="10">
        <v>1000</v>
      </c>
      <c r="CP19" s="10">
        <v>1000</v>
      </c>
      <c r="CQ19" s="10">
        <v>1000</v>
      </c>
      <c r="CR19" s="10">
        <v>1000</v>
      </c>
      <c r="CS19" s="10">
        <v>1000</v>
      </c>
      <c r="CT19" s="10">
        <v>1000</v>
      </c>
      <c r="CU19" s="10">
        <v>1000</v>
      </c>
      <c r="CV19" s="10">
        <v>1000</v>
      </c>
      <c r="CW19" s="10">
        <v>1000</v>
      </c>
      <c r="CX19" s="10">
        <v>1000</v>
      </c>
      <c r="CY19" s="10">
        <v>1000</v>
      </c>
      <c r="CZ19" s="10">
        <v>1000</v>
      </c>
      <c r="DA19" s="10">
        <v>1000</v>
      </c>
      <c r="DB19" s="10">
        <v>1000</v>
      </c>
      <c r="DC19" s="10">
        <v>1000</v>
      </c>
      <c r="DD19" s="10">
        <v>1000</v>
      </c>
      <c r="DE19" s="10">
        <v>1000</v>
      </c>
      <c r="DF19" s="10">
        <v>1000</v>
      </c>
      <c r="DG19" s="10">
        <v>1000</v>
      </c>
      <c r="DH19" s="10">
        <v>1000</v>
      </c>
      <c r="DI19" s="10">
        <v>1000</v>
      </c>
      <c r="DJ19" s="10">
        <v>1000</v>
      </c>
      <c r="DK19" s="10">
        <v>1000</v>
      </c>
      <c r="DL19" s="10">
        <v>1000</v>
      </c>
      <c r="DM19" s="10">
        <v>1000</v>
      </c>
      <c r="DN19" s="10">
        <v>1000</v>
      </c>
      <c r="DO19" s="10">
        <v>1000</v>
      </c>
      <c r="DP19" s="10">
        <v>1000</v>
      </c>
      <c r="DQ19" s="10">
        <v>1000</v>
      </c>
      <c r="DR19" s="10">
        <v>1000</v>
      </c>
      <c r="DS19" s="10">
        <v>1000</v>
      </c>
      <c r="DT19" s="10">
        <v>1000</v>
      </c>
      <c r="DU19" s="10">
        <v>1000</v>
      </c>
      <c r="DV19" s="10">
        <v>1000</v>
      </c>
      <c r="DW19" s="10">
        <v>1000</v>
      </c>
      <c r="DX19" s="10">
        <v>1000</v>
      </c>
      <c r="DY19" s="10">
        <v>1000</v>
      </c>
      <c r="DZ19" s="10">
        <v>1000</v>
      </c>
      <c r="EA19" s="10">
        <v>1000</v>
      </c>
      <c r="EB19" s="10">
        <v>1000</v>
      </c>
      <c r="EC19" s="10">
        <v>1000</v>
      </c>
      <c r="ED19" s="10">
        <v>1000</v>
      </c>
      <c r="EE19" s="10">
        <v>1000</v>
      </c>
      <c r="EF19" s="10">
        <v>1000</v>
      </c>
      <c r="EG19" s="10">
        <v>1000</v>
      </c>
      <c r="EH19" s="10">
        <v>1000</v>
      </c>
      <c r="EI19" s="10">
        <v>1000</v>
      </c>
      <c r="EJ19" s="10">
        <v>1000</v>
      </c>
      <c r="EK19" s="10">
        <v>1000</v>
      </c>
      <c r="EL19" s="10">
        <v>1000</v>
      </c>
      <c r="EM19" s="10">
        <v>1000</v>
      </c>
      <c r="EN19" s="10">
        <v>1000</v>
      </c>
      <c r="EO19" s="10">
        <v>1000</v>
      </c>
      <c r="EP19" s="10">
        <v>1000</v>
      </c>
      <c r="EQ19" s="10">
        <v>1000</v>
      </c>
      <c r="ER19" s="10">
        <v>1000</v>
      </c>
      <c r="ES19" s="10">
        <v>1000</v>
      </c>
      <c r="ET19" s="10">
        <v>1000</v>
      </c>
      <c r="EU19" s="10">
        <v>1000</v>
      </c>
      <c r="EV19" s="10">
        <v>1000</v>
      </c>
      <c r="EW19" s="10">
        <v>1000</v>
      </c>
      <c r="EX19" s="10">
        <v>1000</v>
      </c>
      <c r="EY19" s="10">
        <v>1000</v>
      </c>
      <c r="EZ19" s="10">
        <v>1000</v>
      </c>
      <c r="FA19" s="10">
        <v>1000</v>
      </c>
      <c r="FB19" s="10">
        <v>1000</v>
      </c>
      <c r="FC19" s="10">
        <v>1000</v>
      </c>
      <c r="FD19" s="10">
        <v>1000</v>
      </c>
      <c r="FE19" s="10">
        <v>1000</v>
      </c>
      <c r="FF19" s="10">
        <v>1000</v>
      </c>
      <c r="FG19" s="10">
        <v>1000</v>
      </c>
      <c r="FH19" s="10">
        <v>1000</v>
      </c>
      <c r="FI19" s="10">
        <v>1000</v>
      </c>
      <c r="FJ19" s="10">
        <v>1000</v>
      </c>
      <c r="FK19" s="10">
        <v>1000</v>
      </c>
    </row>
    <row r="20" spans="3:167" s="20" customFormat="1" x14ac:dyDescent="0.2">
      <c r="C20" s="19">
        <f t="shared" si="9"/>
        <v>1.2E-2</v>
      </c>
      <c r="D20" s="19">
        <f t="shared" si="10"/>
        <v>0.08</v>
      </c>
      <c r="E20" s="10" cm="1">
        <f t="array" ref="E20">gavg(AF20,EL20)</f>
        <v>2.5644574701823818E-2</v>
      </c>
      <c r="F20" s="19" cm="1">
        <f t="array" ref="F20">lnstdev(AF20,EL20)</f>
        <v>0.62365141352521747</v>
      </c>
      <c r="G20" s="19">
        <f t="shared" si="11"/>
        <v>111</v>
      </c>
      <c r="H20" s="19">
        <f t="shared" si="12"/>
        <v>3.2600001000000003E-2</v>
      </c>
      <c r="I20" s="19">
        <f t="shared" si="13"/>
        <v>3.2600001000000003E-2</v>
      </c>
      <c r="J20" s="19"/>
      <c r="K20" s="19"/>
      <c r="L20" s="19">
        <f t="shared" si="14"/>
        <v>10</v>
      </c>
      <c r="M20" s="19">
        <f t="shared" si="15"/>
        <v>1.9999999552965164E-2</v>
      </c>
      <c r="N20" s="19">
        <f t="shared" si="16"/>
        <v>1.9999999552965164E-2</v>
      </c>
      <c r="O20" s="19">
        <f t="shared" si="17"/>
        <v>23</v>
      </c>
      <c r="P20" s="19">
        <f t="shared" si="18"/>
        <v>1.2E-2</v>
      </c>
      <c r="Q20" s="19">
        <f t="shared" si="19"/>
        <v>1.2E-2</v>
      </c>
      <c r="R20" s="19">
        <f t="shared" si="20"/>
        <v>29</v>
      </c>
      <c r="S20" s="19">
        <f t="shared" si="21"/>
        <v>0.03</v>
      </c>
      <c r="T20" s="19">
        <f t="shared" si="22"/>
        <v>0.03</v>
      </c>
      <c r="U20" s="19">
        <f t="shared" si="23"/>
        <v>31</v>
      </c>
      <c r="V20" s="19">
        <f t="shared" si="0"/>
        <v>0.08</v>
      </c>
      <c r="W20" s="19">
        <f t="shared" si="1"/>
        <v>0.08</v>
      </c>
      <c r="X20" s="19">
        <f t="shared" si="2"/>
        <v>18</v>
      </c>
      <c r="Y20" s="19">
        <f t="shared" si="3"/>
        <v>0.08</v>
      </c>
      <c r="Z20" s="19">
        <f t="shared" si="4"/>
        <v>0.08</v>
      </c>
      <c r="AA20" s="19">
        <f t="shared" si="5"/>
        <v>4</v>
      </c>
      <c r="AB20" s="19">
        <f t="shared" si="6"/>
        <v>0.08</v>
      </c>
      <c r="AC20" s="19">
        <f t="shared" si="7"/>
        <v>0.08</v>
      </c>
      <c r="AD20" s="19">
        <f t="shared" si="8"/>
        <v>14</v>
      </c>
      <c r="AE20" s="20" t="s">
        <v>103</v>
      </c>
      <c r="AF20" s="19">
        <v>3.2600001000000003E-2</v>
      </c>
      <c r="AG20" s="19">
        <v>3.2600001000000003E-2</v>
      </c>
      <c r="AH20" s="19">
        <v>3.2600001000000003E-2</v>
      </c>
      <c r="AI20" s="19">
        <v>3.2600001000000003E-2</v>
      </c>
      <c r="AJ20" s="19">
        <v>3.2600001000000003E-2</v>
      </c>
      <c r="AK20" s="19">
        <v>3.2600001000000003E-2</v>
      </c>
      <c r="AL20" s="19">
        <v>3.2600001000000003E-2</v>
      </c>
      <c r="AM20" s="19">
        <v>3.2600001000000003E-2</v>
      </c>
      <c r="AN20" s="19">
        <v>3.2600001000000003E-2</v>
      </c>
      <c r="AO20" s="19">
        <v>3.2600001000000003E-2</v>
      </c>
      <c r="AP20" s="19">
        <v>1.9999999552965164E-2</v>
      </c>
      <c r="AQ20" s="19">
        <v>1.9999999552965164E-2</v>
      </c>
      <c r="AR20" s="19">
        <v>1.9999999552965164E-2</v>
      </c>
      <c r="AS20" s="19">
        <v>1.9999999552965164E-2</v>
      </c>
      <c r="AT20" s="19">
        <v>1.9999999552965164E-2</v>
      </c>
      <c r="AU20" s="19">
        <v>1.9999999552965164E-2</v>
      </c>
      <c r="AV20" s="19">
        <v>1.9999999552965164E-2</v>
      </c>
      <c r="AW20" s="19">
        <v>1.9999999552965164E-2</v>
      </c>
      <c r="AX20" s="19">
        <v>1.9999999552965164E-2</v>
      </c>
      <c r="AY20" s="19">
        <v>1.9999999552965164E-2</v>
      </c>
      <c r="AZ20" s="19">
        <v>1.9999999552965164E-2</v>
      </c>
      <c r="BA20" s="19">
        <v>1.9999999552965164E-2</v>
      </c>
      <c r="BB20" s="19">
        <v>1.9999999552965164E-2</v>
      </c>
      <c r="BC20" s="19">
        <v>1.9999999552965164E-2</v>
      </c>
      <c r="BD20" s="19">
        <v>1.9999999552965164E-2</v>
      </c>
      <c r="BE20" s="19">
        <v>1.9999999552965164E-2</v>
      </c>
      <c r="BF20" s="19">
        <v>1.9999999552965164E-2</v>
      </c>
      <c r="BG20" s="19">
        <v>1.9999999552965164E-2</v>
      </c>
      <c r="BH20" s="19">
        <v>1.9999999552965164E-2</v>
      </c>
      <c r="BI20" s="19">
        <v>1.9999999552965164E-2</v>
      </c>
      <c r="BJ20" s="19">
        <v>1.9999999552965164E-2</v>
      </c>
      <c r="BK20" s="19">
        <v>1.9999999552965164E-2</v>
      </c>
      <c r="BL20" s="19">
        <v>1.9999999552965164E-2</v>
      </c>
      <c r="BM20" s="19">
        <v>1.2E-2</v>
      </c>
      <c r="BN20" s="19">
        <v>1.2E-2</v>
      </c>
      <c r="BO20" s="19">
        <v>1.2E-2</v>
      </c>
      <c r="BP20" s="19">
        <v>1.2E-2</v>
      </c>
      <c r="BQ20" s="19">
        <v>1.2E-2</v>
      </c>
      <c r="BR20" s="19">
        <v>1.2E-2</v>
      </c>
      <c r="BS20" s="19">
        <v>1.2E-2</v>
      </c>
      <c r="BT20" s="19">
        <v>1.2E-2</v>
      </c>
      <c r="BU20" s="19">
        <v>1.2E-2</v>
      </c>
      <c r="BV20" s="19">
        <v>1.2E-2</v>
      </c>
      <c r="BW20" s="19">
        <v>1.2E-2</v>
      </c>
      <c r="BX20" s="19">
        <v>1.2E-2</v>
      </c>
      <c r="BY20" s="19">
        <v>1.2E-2</v>
      </c>
      <c r="BZ20" s="19">
        <v>1.2E-2</v>
      </c>
      <c r="CA20" s="19">
        <v>1.2E-2</v>
      </c>
      <c r="CB20" s="19">
        <v>1.2E-2</v>
      </c>
      <c r="CC20" s="19">
        <v>1.2E-2</v>
      </c>
      <c r="CD20" s="19">
        <v>1.2E-2</v>
      </c>
      <c r="CE20" s="19">
        <v>1.2E-2</v>
      </c>
      <c r="CF20" s="19">
        <v>1.2E-2</v>
      </c>
      <c r="CG20" s="19">
        <v>1.2E-2</v>
      </c>
      <c r="CH20" s="19">
        <v>1.2E-2</v>
      </c>
      <c r="CI20" s="19">
        <v>1.2E-2</v>
      </c>
      <c r="CJ20" s="19">
        <v>1.2E-2</v>
      </c>
      <c r="CK20" s="19">
        <v>1.2E-2</v>
      </c>
      <c r="CL20" s="19">
        <v>1.2E-2</v>
      </c>
      <c r="CM20" s="19">
        <v>1.2E-2</v>
      </c>
      <c r="CN20" s="19">
        <v>1.2E-2</v>
      </c>
      <c r="CO20" s="19">
        <v>1.2E-2</v>
      </c>
      <c r="CP20" s="19">
        <v>0.03</v>
      </c>
      <c r="CQ20" s="19">
        <v>0.03</v>
      </c>
      <c r="CR20" s="19">
        <v>0.03</v>
      </c>
      <c r="CS20" s="19">
        <v>0.03</v>
      </c>
      <c r="CT20" s="19">
        <v>0.03</v>
      </c>
      <c r="CU20" s="19">
        <v>0.03</v>
      </c>
      <c r="CV20" s="19">
        <v>0.03</v>
      </c>
      <c r="CW20" s="19">
        <v>0.03</v>
      </c>
      <c r="CX20" s="19">
        <v>0.03</v>
      </c>
      <c r="CY20" s="19">
        <v>0.03</v>
      </c>
      <c r="CZ20" s="19">
        <v>0.03</v>
      </c>
      <c r="DA20" s="19">
        <v>0.03</v>
      </c>
      <c r="DB20" s="19">
        <v>0.03</v>
      </c>
      <c r="DC20" s="19">
        <v>0.03</v>
      </c>
      <c r="DD20" s="19">
        <v>0.03</v>
      </c>
      <c r="DE20" s="19">
        <v>0.03</v>
      </c>
      <c r="DF20" s="19">
        <v>0.03</v>
      </c>
      <c r="DG20" s="19">
        <v>0.03</v>
      </c>
      <c r="DH20" s="19">
        <v>0.03</v>
      </c>
      <c r="DI20" s="19">
        <v>0.03</v>
      </c>
      <c r="DJ20" s="19">
        <v>0.03</v>
      </c>
      <c r="DK20" s="19">
        <v>0.03</v>
      </c>
      <c r="DL20" s="19">
        <v>0.03</v>
      </c>
      <c r="DM20" s="19">
        <v>0.03</v>
      </c>
      <c r="DN20" s="19">
        <v>0.03</v>
      </c>
      <c r="DO20" s="19">
        <v>0.03</v>
      </c>
      <c r="DP20" s="19">
        <v>0.03</v>
      </c>
      <c r="DQ20" s="19">
        <v>0.03</v>
      </c>
      <c r="DR20" s="19">
        <v>0.03</v>
      </c>
      <c r="DS20" s="19">
        <v>0.03</v>
      </c>
      <c r="DT20" s="19">
        <v>0.03</v>
      </c>
      <c r="DU20" s="19">
        <v>0.08</v>
      </c>
      <c r="DV20" s="19">
        <v>0.08</v>
      </c>
      <c r="DW20" s="19">
        <v>0.08</v>
      </c>
      <c r="DX20" s="19">
        <v>0.08</v>
      </c>
      <c r="DY20" s="19">
        <v>0.08</v>
      </c>
      <c r="DZ20" s="19">
        <v>0.08</v>
      </c>
      <c r="EA20" s="19">
        <v>0.08</v>
      </c>
      <c r="EB20" s="19">
        <v>0.08</v>
      </c>
      <c r="EC20" s="19">
        <v>0.08</v>
      </c>
      <c r="ED20" s="19">
        <v>0.08</v>
      </c>
      <c r="EE20" s="19">
        <v>0.08</v>
      </c>
      <c r="EF20" s="19">
        <v>0.08</v>
      </c>
      <c r="EG20" s="19">
        <v>0.08</v>
      </c>
      <c r="EH20" s="19">
        <v>0.08</v>
      </c>
      <c r="EI20" s="19">
        <v>0.08</v>
      </c>
      <c r="EJ20" s="19">
        <v>0.08</v>
      </c>
      <c r="EK20" s="19">
        <v>0.08</v>
      </c>
      <c r="EL20" s="19">
        <v>0.08</v>
      </c>
      <c r="EM20" s="19">
        <v>0.08</v>
      </c>
      <c r="EN20" s="19">
        <v>0.08</v>
      </c>
      <c r="EO20" s="19">
        <v>0.08</v>
      </c>
      <c r="EP20" s="19">
        <v>0.08</v>
      </c>
      <c r="EQ20" s="19">
        <v>0.08</v>
      </c>
      <c r="ER20" s="19">
        <v>0.08</v>
      </c>
      <c r="ES20" s="19">
        <v>0.08</v>
      </c>
      <c r="ET20" s="19">
        <v>0.08</v>
      </c>
      <c r="EU20" s="19">
        <v>0.08</v>
      </c>
      <c r="EV20" s="19">
        <v>0.08</v>
      </c>
      <c r="EW20" s="19">
        <v>0.08</v>
      </c>
      <c r="EX20" s="19">
        <v>0.08</v>
      </c>
      <c r="EY20" s="19">
        <v>0.08</v>
      </c>
      <c r="EZ20" s="19">
        <v>0.08</v>
      </c>
      <c r="FA20" s="19">
        <v>0.08</v>
      </c>
      <c r="FB20" s="19">
        <v>0.08</v>
      </c>
      <c r="FC20" s="19">
        <v>0.08</v>
      </c>
      <c r="FD20" s="19">
        <v>0.08</v>
      </c>
      <c r="FE20" s="19">
        <v>0.08</v>
      </c>
      <c r="FF20" s="19">
        <v>0.08</v>
      </c>
      <c r="FG20" s="19">
        <v>0.08</v>
      </c>
      <c r="FH20" s="19">
        <v>0.08</v>
      </c>
      <c r="FI20" s="19">
        <v>0.08</v>
      </c>
      <c r="FJ20" s="19">
        <v>0.08</v>
      </c>
      <c r="FK20" s="19">
        <v>0.08</v>
      </c>
    </row>
    <row r="21" spans="3:167" x14ac:dyDescent="0.2">
      <c r="C21" s="10">
        <f t="shared" si="9"/>
        <v>0.19700000000000001</v>
      </c>
      <c r="D21" s="10">
        <f t="shared" si="10"/>
        <v>5.7080000000000002</v>
      </c>
      <c r="E21" s="10" cm="1">
        <f t="array" ref="E21">gavg(AF21,EL21)</f>
        <v>0.83504956350635584</v>
      </c>
      <c r="F21" s="10" cm="1">
        <f t="array" ref="F21">lnstdev(AF21,EL21)</f>
        <v>1.0908769817927035</v>
      </c>
      <c r="G21" s="10">
        <f t="shared" si="11"/>
        <v>111</v>
      </c>
      <c r="H21" s="10">
        <f t="shared" si="12"/>
        <v>1.147</v>
      </c>
      <c r="I21" s="10">
        <f t="shared" si="13"/>
        <v>1.147</v>
      </c>
      <c r="J21" s="10"/>
      <c r="K21" s="10"/>
      <c r="L21" s="10">
        <f t="shared" si="14"/>
        <v>10</v>
      </c>
      <c r="M21" s="10">
        <f t="shared" si="15"/>
        <v>0.69898063200815497</v>
      </c>
      <c r="N21" s="10">
        <f t="shared" si="16"/>
        <v>0.69898063200815497</v>
      </c>
      <c r="O21" s="10">
        <f t="shared" si="17"/>
        <v>23</v>
      </c>
      <c r="P21" s="10">
        <f t="shared" si="18"/>
        <v>0.19700000000000001</v>
      </c>
      <c r="Q21" s="10">
        <f t="shared" si="19"/>
        <v>0.19700000000000001</v>
      </c>
      <c r="R21" s="10">
        <f t="shared" si="20"/>
        <v>29</v>
      </c>
      <c r="S21" s="10">
        <f t="shared" si="21"/>
        <v>1.0880000000000001</v>
      </c>
      <c r="T21" s="10">
        <f t="shared" si="22"/>
        <v>1.0880000000000001</v>
      </c>
      <c r="U21" s="10">
        <f t="shared" si="23"/>
        <v>31</v>
      </c>
      <c r="V21" s="10">
        <f t="shared" si="0"/>
        <v>5.7080000000000002</v>
      </c>
      <c r="W21" s="10">
        <f t="shared" si="1"/>
        <v>5.7080000000000002</v>
      </c>
      <c r="X21" s="10">
        <f t="shared" si="2"/>
        <v>18</v>
      </c>
      <c r="Y21" s="10">
        <f t="shared" si="3"/>
        <v>5.7080000000000002</v>
      </c>
      <c r="Z21" s="10">
        <f t="shared" si="4"/>
        <v>5.7080000000000002</v>
      </c>
      <c r="AA21" s="10">
        <f t="shared" si="5"/>
        <v>4</v>
      </c>
      <c r="AB21" s="10">
        <f t="shared" si="6"/>
        <v>5.7080000000000002</v>
      </c>
      <c r="AC21" s="10">
        <f t="shared" si="7"/>
        <v>5.7080000000000002</v>
      </c>
      <c r="AD21" s="10">
        <f t="shared" si="8"/>
        <v>14</v>
      </c>
      <c r="AE21" t="s">
        <v>105</v>
      </c>
      <c r="AF21" s="10">
        <v>1.147</v>
      </c>
      <c r="AG21" s="10">
        <v>1.147</v>
      </c>
      <c r="AH21" s="10">
        <v>1.147</v>
      </c>
      <c r="AI21" s="10">
        <v>1.147</v>
      </c>
      <c r="AJ21" s="10">
        <v>1.147</v>
      </c>
      <c r="AK21" s="10">
        <v>1.147</v>
      </c>
      <c r="AL21" s="10">
        <v>1.147</v>
      </c>
      <c r="AM21" s="10">
        <v>1.147</v>
      </c>
      <c r="AN21" s="10">
        <v>1.147</v>
      </c>
      <c r="AO21" s="10">
        <v>1.147</v>
      </c>
      <c r="AP21" s="10">
        <v>0.69898063200815497</v>
      </c>
      <c r="AQ21" s="10">
        <v>0.69898063200815497</v>
      </c>
      <c r="AR21" s="10">
        <v>0.69898063200815497</v>
      </c>
      <c r="AS21" s="10">
        <v>0.69898063200815497</v>
      </c>
      <c r="AT21" s="10">
        <v>0.69898063200815497</v>
      </c>
      <c r="AU21" s="10">
        <v>0.69898063200815497</v>
      </c>
      <c r="AV21" s="10">
        <v>0.69898063200815497</v>
      </c>
      <c r="AW21" s="10">
        <v>0.69898063200815497</v>
      </c>
      <c r="AX21" s="10">
        <v>0.69898063200815497</v>
      </c>
      <c r="AY21" s="10">
        <v>0.69898063200815497</v>
      </c>
      <c r="AZ21" s="10">
        <v>0.69898063200815497</v>
      </c>
      <c r="BA21" s="10">
        <v>0.69898063200815497</v>
      </c>
      <c r="BB21" s="10">
        <v>0.69898063200815497</v>
      </c>
      <c r="BC21" s="10">
        <v>0.69898063200815497</v>
      </c>
      <c r="BD21" s="10">
        <v>0.69898063200815497</v>
      </c>
      <c r="BE21" s="10">
        <v>0.69898063200815497</v>
      </c>
      <c r="BF21" s="10">
        <v>0.69898063200815497</v>
      </c>
      <c r="BG21" s="10">
        <v>0.69898063200815497</v>
      </c>
      <c r="BH21" s="10">
        <v>0.69898063200815497</v>
      </c>
      <c r="BI21" s="10">
        <v>0.69898063200815497</v>
      </c>
      <c r="BJ21" s="10">
        <v>0.69898063200815497</v>
      </c>
      <c r="BK21" s="10">
        <v>0.69898063200815497</v>
      </c>
      <c r="BL21" s="10">
        <v>0.69898063200815497</v>
      </c>
      <c r="BM21" s="10">
        <v>0.19700000000000001</v>
      </c>
      <c r="BN21" s="10">
        <v>0.19700000000000001</v>
      </c>
      <c r="BO21" s="10">
        <v>0.19700000000000001</v>
      </c>
      <c r="BP21" s="10">
        <v>0.19700000000000001</v>
      </c>
      <c r="BQ21" s="10">
        <v>0.19700000000000001</v>
      </c>
      <c r="BR21" s="10">
        <v>0.19700000000000001</v>
      </c>
      <c r="BS21" s="10">
        <v>0.19700000000000001</v>
      </c>
      <c r="BT21" s="10">
        <v>0.19700000000000001</v>
      </c>
      <c r="BU21" s="10">
        <v>0.19700000000000001</v>
      </c>
      <c r="BV21" s="10">
        <v>0.19700000000000001</v>
      </c>
      <c r="BW21" s="10">
        <v>0.19700000000000001</v>
      </c>
      <c r="BX21" s="10">
        <v>0.19700000000000001</v>
      </c>
      <c r="BY21" s="10">
        <v>0.19700000000000001</v>
      </c>
      <c r="BZ21" s="10">
        <v>0.19700000000000001</v>
      </c>
      <c r="CA21" s="10">
        <v>0.19700000000000001</v>
      </c>
      <c r="CB21" s="10">
        <v>0.19700000000000001</v>
      </c>
      <c r="CC21" s="10">
        <v>0.19700000000000001</v>
      </c>
      <c r="CD21" s="10">
        <v>0.19700000000000001</v>
      </c>
      <c r="CE21" s="10">
        <v>0.19700000000000001</v>
      </c>
      <c r="CF21" s="10">
        <v>0.19700000000000001</v>
      </c>
      <c r="CG21" s="10">
        <v>0.19700000000000001</v>
      </c>
      <c r="CH21" s="10">
        <v>0.19700000000000001</v>
      </c>
      <c r="CI21" s="10">
        <v>0.19700000000000001</v>
      </c>
      <c r="CJ21" s="10">
        <v>0.19700000000000001</v>
      </c>
      <c r="CK21" s="10">
        <v>0.19700000000000001</v>
      </c>
      <c r="CL21" s="10">
        <v>0.19700000000000001</v>
      </c>
      <c r="CM21" s="10">
        <v>0.19700000000000001</v>
      </c>
      <c r="CN21" s="10">
        <v>0.19700000000000001</v>
      </c>
      <c r="CO21" s="10">
        <v>0.19700000000000001</v>
      </c>
      <c r="CP21" s="10">
        <v>1.0880000000000001</v>
      </c>
      <c r="CQ21" s="10">
        <v>1.0880000000000001</v>
      </c>
      <c r="CR21" s="10">
        <v>1.0880000000000001</v>
      </c>
      <c r="CS21" s="10">
        <v>1.0880000000000001</v>
      </c>
      <c r="CT21" s="10">
        <v>1.0880000000000001</v>
      </c>
      <c r="CU21" s="10">
        <v>1.0880000000000001</v>
      </c>
      <c r="CV21" s="10">
        <v>1.0880000000000001</v>
      </c>
      <c r="CW21" s="10">
        <v>1.0880000000000001</v>
      </c>
      <c r="CX21" s="10">
        <v>1.0880000000000001</v>
      </c>
      <c r="CY21" s="10">
        <v>1.0880000000000001</v>
      </c>
      <c r="CZ21" s="10">
        <v>1.0880000000000001</v>
      </c>
      <c r="DA21" s="10">
        <v>1.0880000000000001</v>
      </c>
      <c r="DB21" s="10">
        <v>1.0880000000000001</v>
      </c>
      <c r="DC21" s="10">
        <v>1.0880000000000001</v>
      </c>
      <c r="DD21" s="10">
        <v>1.0880000000000001</v>
      </c>
      <c r="DE21" s="10">
        <v>1.0880000000000001</v>
      </c>
      <c r="DF21" s="10">
        <v>1.0880000000000001</v>
      </c>
      <c r="DG21" s="10">
        <v>1.0880000000000001</v>
      </c>
      <c r="DH21" s="10">
        <v>1.0880000000000001</v>
      </c>
      <c r="DI21" s="10">
        <v>1.0880000000000001</v>
      </c>
      <c r="DJ21" s="10">
        <v>1.0880000000000001</v>
      </c>
      <c r="DK21" s="10">
        <v>1.0880000000000001</v>
      </c>
      <c r="DL21" s="10">
        <v>1.0880000000000001</v>
      </c>
      <c r="DM21" s="10">
        <v>1.0880000000000001</v>
      </c>
      <c r="DN21" s="10">
        <v>1.0880000000000001</v>
      </c>
      <c r="DO21" s="10">
        <v>1.0880000000000001</v>
      </c>
      <c r="DP21" s="10">
        <v>1.0880000000000001</v>
      </c>
      <c r="DQ21" s="10">
        <v>1.0880000000000001</v>
      </c>
      <c r="DR21" s="10">
        <v>1.0880000000000001</v>
      </c>
      <c r="DS21" s="10">
        <v>1.0880000000000001</v>
      </c>
      <c r="DT21" s="10">
        <v>1.0880000000000001</v>
      </c>
      <c r="DU21" s="10">
        <v>5.7080000000000002</v>
      </c>
      <c r="DV21" s="10">
        <v>5.7080000000000002</v>
      </c>
      <c r="DW21" s="10">
        <v>5.7080000000000002</v>
      </c>
      <c r="DX21" s="10">
        <v>5.7080000000000002</v>
      </c>
      <c r="DY21" s="10">
        <v>5.7080000000000002</v>
      </c>
      <c r="DZ21" s="10">
        <v>5.7080000000000002</v>
      </c>
      <c r="EA21" s="10">
        <v>5.7080000000000002</v>
      </c>
      <c r="EB21" s="10">
        <v>5.7080000000000002</v>
      </c>
      <c r="EC21" s="10">
        <v>5.7080000000000002</v>
      </c>
      <c r="ED21" s="10">
        <v>5.7080000000000002</v>
      </c>
      <c r="EE21" s="10">
        <v>5.7080000000000002</v>
      </c>
      <c r="EF21" s="10">
        <v>5.7080000000000002</v>
      </c>
      <c r="EG21" s="10">
        <v>5.7080000000000002</v>
      </c>
      <c r="EH21" s="10">
        <v>5.7080000000000002</v>
      </c>
      <c r="EI21" s="10">
        <v>5.7080000000000002</v>
      </c>
      <c r="EJ21" s="10">
        <v>5.7080000000000002</v>
      </c>
      <c r="EK21" s="10">
        <v>5.7080000000000002</v>
      </c>
      <c r="EL21" s="10">
        <v>5.7080000000000002</v>
      </c>
      <c r="EM21" s="10">
        <v>5.7080000000000002</v>
      </c>
      <c r="EN21" s="10">
        <v>5.7080000000000002</v>
      </c>
      <c r="EO21" s="10">
        <v>5.7080000000000002</v>
      </c>
      <c r="EP21" s="10">
        <v>5.7080000000000002</v>
      </c>
      <c r="EQ21" s="10">
        <v>5.7080000000000002</v>
      </c>
      <c r="ER21" s="10">
        <v>5.7080000000000002</v>
      </c>
      <c r="ES21" s="10">
        <v>5.7080000000000002</v>
      </c>
      <c r="ET21" s="10">
        <v>5.7080000000000002</v>
      </c>
      <c r="EU21" s="10">
        <v>5.7080000000000002</v>
      </c>
      <c r="EV21" s="10">
        <v>5.7080000000000002</v>
      </c>
      <c r="EW21" s="10">
        <v>5.7080000000000002</v>
      </c>
      <c r="EX21" s="10">
        <v>5.7080000000000002</v>
      </c>
      <c r="EY21" s="10">
        <v>5.7080000000000002</v>
      </c>
      <c r="EZ21" s="10">
        <v>5.7080000000000002</v>
      </c>
      <c r="FA21" s="10">
        <v>5.7080000000000002</v>
      </c>
      <c r="FB21" s="10">
        <v>5.7080000000000002</v>
      </c>
      <c r="FC21" s="10">
        <v>5.7080000000000002</v>
      </c>
      <c r="FD21" s="10">
        <v>5.7080000000000002</v>
      </c>
      <c r="FE21" s="10">
        <v>5.7080000000000002</v>
      </c>
      <c r="FF21" s="10">
        <v>5.7080000000000002</v>
      </c>
      <c r="FG21" s="10">
        <v>5.7080000000000002</v>
      </c>
      <c r="FH21" s="10">
        <v>5.7080000000000002</v>
      </c>
      <c r="FI21" s="10">
        <v>5.7080000000000002</v>
      </c>
      <c r="FJ21" s="10">
        <v>5.7080000000000002</v>
      </c>
      <c r="FK21" s="10">
        <v>5.7080000000000002</v>
      </c>
    </row>
    <row r="22" spans="3:167" x14ac:dyDescent="0.2">
      <c r="C22" s="10">
        <f t="shared" si="9"/>
        <v>7.8E-2</v>
      </c>
      <c r="D22" s="10">
        <f t="shared" si="10"/>
        <v>0.93700000000000006</v>
      </c>
      <c r="E22" s="10" cm="1">
        <f t="array" ref="E22">gavg(AF22,EL22)</f>
        <v>0.3353230234726105</v>
      </c>
      <c r="F22" s="10" cm="1">
        <f t="array" ref="F22">lnstdev(AF22,EL22)</f>
        <v>0.94615640922693767</v>
      </c>
      <c r="G22" s="10">
        <f t="shared" si="11"/>
        <v>111</v>
      </c>
      <c r="H22" s="10">
        <f t="shared" si="12"/>
        <v>0.83468973999999996</v>
      </c>
      <c r="I22" s="10">
        <f t="shared" si="13"/>
        <v>0.83468973999999996</v>
      </c>
      <c r="J22" s="10"/>
      <c r="K22" s="10"/>
      <c r="L22" s="10">
        <f t="shared" si="14"/>
        <v>10</v>
      </c>
      <c r="M22" s="10">
        <f t="shared" si="15"/>
        <v>0.30399999022483826</v>
      </c>
      <c r="N22" s="10">
        <f t="shared" si="16"/>
        <v>0.30399999022483826</v>
      </c>
      <c r="O22" s="10">
        <f t="shared" si="17"/>
        <v>23</v>
      </c>
      <c r="P22" s="10">
        <f t="shared" si="18"/>
        <v>7.8E-2</v>
      </c>
      <c r="Q22" s="10">
        <f t="shared" si="19"/>
        <v>7.8E-2</v>
      </c>
      <c r="R22" s="10">
        <f t="shared" si="20"/>
        <v>29</v>
      </c>
      <c r="S22" s="10">
        <f t="shared" si="21"/>
        <v>0.57899999999999996</v>
      </c>
      <c r="T22" s="10">
        <f t="shared" si="22"/>
        <v>0.57899999999999996</v>
      </c>
      <c r="U22" s="10">
        <f t="shared" si="23"/>
        <v>31</v>
      </c>
      <c r="V22" s="10">
        <f t="shared" si="0"/>
        <v>0.93700000000000006</v>
      </c>
      <c r="W22" s="10">
        <f t="shared" si="1"/>
        <v>0.93700000000000006</v>
      </c>
      <c r="X22" s="10">
        <f t="shared" si="2"/>
        <v>18</v>
      </c>
      <c r="Y22" s="10">
        <f t="shared" si="3"/>
        <v>0.93700000000000006</v>
      </c>
      <c r="Z22" s="10">
        <f t="shared" si="4"/>
        <v>0.93700000000000006</v>
      </c>
      <c r="AA22" s="10">
        <f t="shared" si="5"/>
        <v>4</v>
      </c>
      <c r="AB22" s="10">
        <f t="shared" si="6"/>
        <v>0.93700000000000006</v>
      </c>
      <c r="AC22" s="10">
        <f t="shared" si="7"/>
        <v>0.93700000000000006</v>
      </c>
      <c r="AD22" s="10">
        <f t="shared" si="8"/>
        <v>14</v>
      </c>
      <c r="AE22" t="s">
        <v>106</v>
      </c>
      <c r="AF22" s="10">
        <v>0.83468973999999996</v>
      </c>
      <c r="AG22" s="10">
        <v>0.83468973999999996</v>
      </c>
      <c r="AH22" s="10">
        <v>0.83468973999999996</v>
      </c>
      <c r="AI22" s="10">
        <v>0.83468973999999996</v>
      </c>
      <c r="AJ22" s="10">
        <v>0.83468973999999996</v>
      </c>
      <c r="AK22" s="10">
        <v>0.83468973999999996</v>
      </c>
      <c r="AL22" s="10">
        <v>0.83468973999999996</v>
      </c>
      <c r="AM22" s="10">
        <v>0.83468973999999996</v>
      </c>
      <c r="AN22" s="10">
        <v>0.83468973999999996</v>
      </c>
      <c r="AO22" s="10">
        <v>0.83468973999999996</v>
      </c>
      <c r="AP22" s="10">
        <v>0.30399999022483826</v>
      </c>
      <c r="AQ22" s="10">
        <v>0.30399999022483826</v>
      </c>
      <c r="AR22" s="10">
        <v>0.30399999022483826</v>
      </c>
      <c r="AS22" s="10">
        <v>0.30399999022483826</v>
      </c>
      <c r="AT22" s="10">
        <v>0.30399999022483826</v>
      </c>
      <c r="AU22" s="10">
        <v>0.30399999022483826</v>
      </c>
      <c r="AV22" s="10">
        <v>0.30399999022483826</v>
      </c>
      <c r="AW22" s="10">
        <v>0.30399999022483826</v>
      </c>
      <c r="AX22" s="10">
        <v>0.30399999022483826</v>
      </c>
      <c r="AY22" s="10">
        <v>0.30399999022483826</v>
      </c>
      <c r="AZ22" s="10">
        <v>0.30399999022483826</v>
      </c>
      <c r="BA22" s="10">
        <v>0.30399999022483826</v>
      </c>
      <c r="BB22" s="10">
        <v>0.30399999022483826</v>
      </c>
      <c r="BC22" s="10">
        <v>0.30399999022483826</v>
      </c>
      <c r="BD22" s="10">
        <v>0.30399999022483826</v>
      </c>
      <c r="BE22" s="10">
        <v>0.30399999022483826</v>
      </c>
      <c r="BF22" s="10">
        <v>0.30399999022483826</v>
      </c>
      <c r="BG22" s="10">
        <v>0.30399999022483826</v>
      </c>
      <c r="BH22" s="10">
        <v>0.30399999022483826</v>
      </c>
      <c r="BI22" s="10">
        <v>0.30399999022483826</v>
      </c>
      <c r="BJ22" s="10">
        <v>0.30399999022483826</v>
      </c>
      <c r="BK22" s="10">
        <v>0.30399999022483826</v>
      </c>
      <c r="BL22" s="10">
        <v>0.30399999022483826</v>
      </c>
      <c r="BM22" s="10">
        <v>7.8E-2</v>
      </c>
      <c r="BN22" s="10">
        <v>7.8E-2</v>
      </c>
      <c r="BO22" s="10">
        <v>7.8E-2</v>
      </c>
      <c r="BP22" s="10">
        <v>7.8E-2</v>
      </c>
      <c r="BQ22" s="10">
        <v>7.8E-2</v>
      </c>
      <c r="BR22" s="10">
        <v>7.8E-2</v>
      </c>
      <c r="BS22" s="10">
        <v>7.8E-2</v>
      </c>
      <c r="BT22" s="10">
        <v>7.8E-2</v>
      </c>
      <c r="BU22" s="10">
        <v>7.8E-2</v>
      </c>
      <c r="BV22" s="10">
        <v>7.8E-2</v>
      </c>
      <c r="BW22" s="10">
        <v>7.8E-2</v>
      </c>
      <c r="BX22" s="10">
        <v>7.8E-2</v>
      </c>
      <c r="BY22" s="10">
        <v>7.8E-2</v>
      </c>
      <c r="BZ22" s="10">
        <v>7.8E-2</v>
      </c>
      <c r="CA22" s="10">
        <v>7.8E-2</v>
      </c>
      <c r="CB22" s="10">
        <v>7.8E-2</v>
      </c>
      <c r="CC22" s="10">
        <v>7.8E-2</v>
      </c>
      <c r="CD22" s="10">
        <v>7.8E-2</v>
      </c>
      <c r="CE22" s="10">
        <v>7.8E-2</v>
      </c>
      <c r="CF22" s="10">
        <v>7.8E-2</v>
      </c>
      <c r="CG22" s="10">
        <v>7.8E-2</v>
      </c>
      <c r="CH22" s="10">
        <v>7.8E-2</v>
      </c>
      <c r="CI22" s="10">
        <v>7.8E-2</v>
      </c>
      <c r="CJ22" s="10">
        <v>7.8E-2</v>
      </c>
      <c r="CK22" s="10">
        <v>7.8E-2</v>
      </c>
      <c r="CL22" s="10">
        <v>7.8E-2</v>
      </c>
      <c r="CM22" s="10">
        <v>7.8E-2</v>
      </c>
      <c r="CN22" s="10">
        <v>7.8E-2</v>
      </c>
      <c r="CO22" s="10">
        <v>7.8E-2</v>
      </c>
      <c r="CP22" s="10">
        <v>0.57899999999999996</v>
      </c>
      <c r="CQ22" s="10">
        <v>0.57899999999999996</v>
      </c>
      <c r="CR22" s="10">
        <v>0.57899999999999996</v>
      </c>
      <c r="CS22" s="10">
        <v>0.57899999999999996</v>
      </c>
      <c r="CT22" s="10">
        <v>0.57899999999999996</v>
      </c>
      <c r="CU22" s="10">
        <v>0.57899999999999996</v>
      </c>
      <c r="CV22" s="10">
        <v>0.57899999999999996</v>
      </c>
      <c r="CW22" s="10">
        <v>0.57899999999999996</v>
      </c>
      <c r="CX22" s="10">
        <v>0.57899999999999996</v>
      </c>
      <c r="CY22" s="10">
        <v>0.57899999999999996</v>
      </c>
      <c r="CZ22" s="10">
        <v>0.57899999999999996</v>
      </c>
      <c r="DA22" s="10">
        <v>0.57899999999999996</v>
      </c>
      <c r="DB22" s="10">
        <v>0.57899999999999996</v>
      </c>
      <c r="DC22" s="10">
        <v>0.57899999999999996</v>
      </c>
      <c r="DD22" s="10">
        <v>0.57899999999999996</v>
      </c>
      <c r="DE22" s="10">
        <v>0.57899999999999996</v>
      </c>
      <c r="DF22" s="10">
        <v>0.57899999999999996</v>
      </c>
      <c r="DG22" s="10">
        <v>0.57899999999999996</v>
      </c>
      <c r="DH22" s="10">
        <v>0.57899999999999996</v>
      </c>
      <c r="DI22" s="10">
        <v>0.57899999999999996</v>
      </c>
      <c r="DJ22" s="10">
        <v>0.57899999999999996</v>
      </c>
      <c r="DK22" s="10">
        <v>0.57899999999999996</v>
      </c>
      <c r="DL22" s="10">
        <v>0.57899999999999996</v>
      </c>
      <c r="DM22" s="10">
        <v>0.57899999999999996</v>
      </c>
      <c r="DN22" s="10">
        <v>0.57899999999999996</v>
      </c>
      <c r="DO22" s="10">
        <v>0.57899999999999996</v>
      </c>
      <c r="DP22" s="10">
        <v>0.57899999999999996</v>
      </c>
      <c r="DQ22" s="10">
        <v>0.57899999999999996</v>
      </c>
      <c r="DR22" s="10">
        <v>0.57899999999999996</v>
      </c>
      <c r="DS22" s="10">
        <v>0.57899999999999996</v>
      </c>
      <c r="DT22" s="10">
        <v>0.57899999999999996</v>
      </c>
      <c r="DU22" s="10">
        <v>0.93700000000000006</v>
      </c>
      <c r="DV22" s="10">
        <v>0.93700000000000006</v>
      </c>
      <c r="DW22" s="10">
        <v>0.93700000000000006</v>
      </c>
      <c r="DX22" s="10">
        <v>0.93700000000000006</v>
      </c>
      <c r="DY22" s="10">
        <v>0.93700000000000006</v>
      </c>
      <c r="DZ22" s="10">
        <v>0.93700000000000006</v>
      </c>
      <c r="EA22" s="10">
        <v>0.93700000000000006</v>
      </c>
      <c r="EB22" s="10">
        <v>0.93700000000000006</v>
      </c>
      <c r="EC22" s="10">
        <v>0.93700000000000006</v>
      </c>
      <c r="ED22" s="10">
        <v>0.93700000000000006</v>
      </c>
      <c r="EE22" s="10">
        <v>0.93700000000000006</v>
      </c>
      <c r="EF22" s="10">
        <v>0.93700000000000006</v>
      </c>
      <c r="EG22" s="10">
        <v>0.93700000000000006</v>
      </c>
      <c r="EH22" s="10">
        <v>0.93700000000000006</v>
      </c>
      <c r="EI22" s="10">
        <v>0.93700000000000006</v>
      </c>
      <c r="EJ22" s="10">
        <v>0.93700000000000006</v>
      </c>
      <c r="EK22" s="10">
        <v>0.93700000000000006</v>
      </c>
      <c r="EL22" s="10">
        <v>0.93700000000000006</v>
      </c>
      <c r="EM22" s="10">
        <v>0.93700000000000006</v>
      </c>
      <c r="EN22" s="10">
        <v>0.93700000000000006</v>
      </c>
      <c r="EO22" s="10">
        <v>0.93700000000000006</v>
      </c>
      <c r="EP22" s="10">
        <v>0.93700000000000006</v>
      </c>
      <c r="EQ22" s="10">
        <v>0.93700000000000006</v>
      </c>
      <c r="ER22" s="10">
        <v>0.93700000000000006</v>
      </c>
      <c r="ES22" s="10">
        <v>0.93700000000000006</v>
      </c>
      <c r="ET22" s="10">
        <v>0.93700000000000006</v>
      </c>
      <c r="EU22" s="10">
        <v>0.93700000000000006</v>
      </c>
      <c r="EV22" s="10">
        <v>0.93700000000000006</v>
      </c>
      <c r="EW22" s="10">
        <v>0.93700000000000006</v>
      </c>
      <c r="EX22" s="10">
        <v>0.93700000000000006</v>
      </c>
      <c r="EY22" s="10">
        <v>0.93700000000000006</v>
      </c>
      <c r="EZ22" s="10">
        <v>0.93700000000000006</v>
      </c>
      <c r="FA22" s="10">
        <v>0.93700000000000006</v>
      </c>
      <c r="FB22" s="10">
        <v>0.93700000000000006</v>
      </c>
      <c r="FC22" s="10">
        <v>0.93700000000000006</v>
      </c>
      <c r="FD22" s="10">
        <v>0.93700000000000006</v>
      </c>
      <c r="FE22" s="10">
        <v>0.93700000000000006</v>
      </c>
      <c r="FF22" s="10">
        <v>0.93700000000000006</v>
      </c>
      <c r="FG22" s="10">
        <v>0.93700000000000006</v>
      </c>
      <c r="FH22" s="10">
        <v>0.93700000000000006</v>
      </c>
      <c r="FI22" s="10">
        <v>0.93700000000000006</v>
      </c>
      <c r="FJ22" s="10">
        <v>0.93700000000000006</v>
      </c>
      <c r="FK22" s="10">
        <v>0.93700000000000006</v>
      </c>
    </row>
    <row r="23" spans="3:167" x14ac:dyDescent="0.2">
      <c r="C23" s="10">
        <f t="shared" si="9"/>
        <v>1.1399999999999999</v>
      </c>
      <c r="D23" s="10">
        <f t="shared" si="10"/>
        <v>2.2248999999999999</v>
      </c>
      <c r="E23" s="10" cm="1">
        <f t="array" ref="E23">gavg(AF23,EL23)</f>
        <v>1.61750559060976</v>
      </c>
      <c r="F23" s="10" cm="1">
        <f t="array" ref="F23">lnstdev(AF23,EL23)</f>
        <v>0.21397248488242621</v>
      </c>
      <c r="G23" s="10">
        <f t="shared" si="11"/>
        <v>111</v>
      </c>
      <c r="H23" s="10">
        <f t="shared" si="12"/>
        <v>1.3741633</v>
      </c>
      <c r="I23" s="10">
        <f t="shared" si="13"/>
        <v>1.3741633</v>
      </c>
      <c r="J23" s="10"/>
      <c r="K23" s="10"/>
      <c r="L23" s="10">
        <f t="shared" si="14"/>
        <v>10</v>
      </c>
      <c r="M23" s="10">
        <f t="shared" si="15"/>
        <v>2.2248999999999999</v>
      </c>
      <c r="N23" s="10">
        <f t="shared" si="16"/>
        <v>2.2248999999999999</v>
      </c>
      <c r="O23" s="10">
        <f t="shared" si="17"/>
        <v>23</v>
      </c>
      <c r="P23" s="10">
        <f t="shared" si="18"/>
        <v>1.74</v>
      </c>
      <c r="Q23" s="10">
        <f t="shared" si="19"/>
        <v>1.74</v>
      </c>
      <c r="R23" s="10">
        <f t="shared" si="20"/>
        <v>29</v>
      </c>
      <c r="S23" s="10">
        <f t="shared" si="21"/>
        <v>1.54</v>
      </c>
      <c r="T23" s="10">
        <f t="shared" si="22"/>
        <v>1.54</v>
      </c>
      <c r="U23" s="10">
        <f t="shared" si="23"/>
        <v>31</v>
      </c>
      <c r="V23" s="10">
        <f t="shared" si="0"/>
        <v>1.1399999999999999</v>
      </c>
      <c r="W23" s="10">
        <f t="shared" si="1"/>
        <v>1.1399999999999999</v>
      </c>
      <c r="X23" s="10">
        <f t="shared" si="2"/>
        <v>18</v>
      </c>
      <c r="Y23" s="10">
        <f t="shared" si="3"/>
        <v>1.1399999999999999</v>
      </c>
      <c r="Z23" s="10">
        <f t="shared" si="4"/>
        <v>1.1399999999999999</v>
      </c>
      <c r="AA23" s="10">
        <f t="shared" si="5"/>
        <v>4</v>
      </c>
      <c r="AB23" s="10">
        <f t="shared" si="6"/>
        <v>1.1399999999999999</v>
      </c>
      <c r="AC23" s="10">
        <f t="shared" si="7"/>
        <v>1.1399999999999999</v>
      </c>
      <c r="AD23" s="10">
        <f t="shared" si="8"/>
        <v>14</v>
      </c>
      <c r="AE23" t="s">
        <v>109</v>
      </c>
      <c r="AF23" s="10">
        <v>1.3741633</v>
      </c>
      <c r="AG23" s="10">
        <v>1.3741633</v>
      </c>
      <c r="AH23" s="10">
        <v>1.3741633</v>
      </c>
      <c r="AI23" s="10">
        <v>1.3741633</v>
      </c>
      <c r="AJ23" s="10">
        <v>1.3741633</v>
      </c>
      <c r="AK23" s="10">
        <v>1.3741633</v>
      </c>
      <c r="AL23" s="10">
        <v>1.3741633</v>
      </c>
      <c r="AM23" s="10">
        <v>1.3741633</v>
      </c>
      <c r="AN23" s="10">
        <v>1.3741633</v>
      </c>
      <c r="AO23" s="10">
        <v>1.3741633</v>
      </c>
      <c r="AP23" s="10">
        <v>2.2248999999999999</v>
      </c>
      <c r="AQ23" s="10">
        <v>2.2248999999999999</v>
      </c>
      <c r="AR23" s="10">
        <v>2.2248999999999999</v>
      </c>
      <c r="AS23" s="10">
        <v>2.2248999999999999</v>
      </c>
      <c r="AT23" s="10">
        <v>2.2248999999999999</v>
      </c>
      <c r="AU23" s="10">
        <v>2.2248999999999999</v>
      </c>
      <c r="AV23" s="10">
        <v>2.2248999999999999</v>
      </c>
      <c r="AW23" s="10">
        <v>2.2248999999999999</v>
      </c>
      <c r="AX23" s="10">
        <v>2.2248999999999999</v>
      </c>
      <c r="AY23" s="10">
        <v>2.2248999999999999</v>
      </c>
      <c r="AZ23" s="10">
        <v>2.2248999999999999</v>
      </c>
      <c r="BA23" s="10">
        <v>2.2248999999999999</v>
      </c>
      <c r="BB23" s="10">
        <v>2.2248999999999999</v>
      </c>
      <c r="BC23" s="10">
        <v>2.2248999999999999</v>
      </c>
      <c r="BD23" s="10">
        <v>2.2248999999999999</v>
      </c>
      <c r="BE23" s="10">
        <v>2.2248999999999999</v>
      </c>
      <c r="BF23" s="10">
        <v>2.2248999999999999</v>
      </c>
      <c r="BG23" s="10">
        <v>2.2248999999999999</v>
      </c>
      <c r="BH23" s="10">
        <v>2.2248999999999999</v>
      </c>
      <c r="BI23" s="10">
        <v>2.2248999999999999</v>
      </c>
      <c r="BJ23" s="10">
        <v>2.2248999999999999</v>
      </c>
      <c r="BK23" s="10">
        <v>2.2248999999999999</v>
      </c>
      <c r="BL23" s="10">
        <v>2.2248999999999999</v>
      </c>
      <c r="BM23" s="10">
        <v>1.74</v>
      </c>
      <c r="BN23" s="10">
        <v>1.74</v>
      </c>
      <c r="BO23" s="10">
        <v>1.74</v>
      </c>
      <c r="BP23" s="10">
        <v>1.74</v>
      </c>
      <c r="BQ23" s="10">
        <v>1.74</v>
      </c>
      <c r="BR23" s="10">
        <v>1.74</v>
      </c>
      <c r="BS23" s="10">
        <v>1.74</v>
      </c>
      <c r="BT23" s="10">
        <v>1.74</v>
      </c>
      <c r="BU23" s="10">
        <v>1.74</v>
      </c>
      <c r="BV23" s="10">
        <v>1.74</v>
      </c>
      <c r="BW23" s="10">
        <v>1.74</v>
      </c>
      <c r="BX23" s="10">
        <v>1.74</v>
      </c>
      <c r="BY23" s="10">
        <v>1.74</v>
      </c>
      <c r="BZ23" s="10">
        <v>1.74</v>
      </c>
      <c r="CA23" s="10">
        <v>1.74</v>
      </c>
      <c r="CB23" s="10">
        <v>1.74</v>
      </c>
      <c r="CC23" s="10">
        <v>1.74</v>
      </c>
      <c r="CD23" s="10">
        <v>1.74</v>
      </c>
      <c r="CE23" s="10">
        <v>1.74</v>
      </c>
      <c r="CF23" s="10">
        <v>1.74</v>
      </c>
      <c r="CG23" s="10">
        <v>1.74</v>
      </c>
      <c r="CH23" s="10">
        <v>1.74</v>
      </c>
      <c r="CI23" s="10">
        <v>1.74</v>
      </c>
      <c r="CJ23" s="10">
        <v>1.74</v>
      </c>
      <c r="CK23" s="10">
        <v>1.74</v>
      </c>
      <c r="CL23" s="10">
        <v>1.74</v>
      </c>
      <c r="CM23" s="10">
        <v>1.74</v>
      </c>
      <c r="CN23" s="10">
        <v>1.74</v>
      </c>
      <c r="CO23" s="10">
        <v>1.74</v>
      </c>
      <c r="CP23" s="10">
        <v>1.54</v>
      </c>
      <c r="CQ23" s="10">
        <v>1.54</v>
      </c>
      <c r="CR23" s="10">
        <v>1.54</v>
      </c>
      <c r="CS23" s="10">
        <v>1.54</v>
      </c>
      <c r="CT23" s="10">
        <v>1.54</v>
      </c>
      <c r="CU23" s="10">
        <v>1.54</v>
      </c>
      <c r="CV23" s="10">
        <v>1.54</v>
      </c>
      <c r="CW23" s="10">
        <v>1.54</v>
      </c>
      <c r="CX23" s="10">
        <v>1.54</v>
      </c>
      <c r="CY23" s="10">
        <v>1.54</v>
      </c>
      <c r="CZ23" s="10">
        <v>1.54</v>
      </c>
      <c r="DA23" s="10">
        <v>1.54</v>
      </c>
      <c r="DB23" s="10">
        <v>1.54</v>
      </c>
      <c r="DC23" s="10">
        <v>1.54</v>
      </c>
      <c r="DD23" s="10">
        <v>1.54</v>
      </c>
      <c r="DE23" s="10">
        <v>1.54</v>
      </c>
      <c r="DF23" s="10">
        <v>1.54</v>
      </c>
      <c r="DG23" s="10">
        <v>1.54</v>
      </c>
      <c r="DH23" s="10">
        <v>1.54</v>
      </c>
      <c r="DI23" s="10">
        <v>1.54</v>
      </c>
      <c r="DJ23" s="10">
        <v>1.54</v>
      </c>
      <c r="DK23" s="10">
        <v>1.54</v>
      </c>
      <c r="DL23" s="10">
        <v>1.54</v>
      </c>
      <c r="DM23" s="10">
        <v>1.54</v>
      </c>
      <c r="DN23" s="10">
        <v>1.54</v>
      </c>
      <c r="DO23" s="10">
        <v>1.54</v>
      </c>
      <c r="DP23" s="10">
        <v>1.54</v>
      </c>
      <c r="DQ23" s="10">
        <v>1.54</v>
      </c>
      <c r="DR23" s="10">
        <v>1.54</v>
      </c>
      <c r="DS23" s="10">
        <v>1.54</v>
      </c>
      <c r="DT23" s="10">
        <v>1.54</v>
      </c>
      <c r="DU23" s="10">
        <v>1.1399999999999999</v>
      </c>
      <c r="DV23" s="10">
        <v>1.1399999999999999</v>
      </c>
      <c r="DW23" s="10">
        <v>1.1399999999999999</v>
      </c>
      <c r="DX23" s="10">
        <v>1.1399999999999999</v>
      </c>
      <c r="DY23" s="10">
        <v>1.1399999999999999</v>
      </c>
      <c r="DZ23" s="10">
        <v>1.1399999999999999</v>
      </c>
      <c r="EA23" s="10">
        <v>1.1399999999999999</v>
      </c>
      <c r="EB23" s="10">
        <v>1.1399999999999999</v>
      </c>
      <c r="EC23" s="10">
        <v>1.1399999999999999</v>
      </c>
      <c r="ED23" s="10">
        <v>1.1399999999999999</v>
      </c>
      <c r="EE23" s="10">
        <v>1.1399999999999999</v>
      </c>
      <c r="EF23" s="10">
        <v>1.1399999999999999</v>
      </c>
      <c r="EG23" s="10">
        <v>1.1399999999999999</v>
      </c>
      <c r="EH23" s="10">
        <v>1.1399999999999999</v>
      </c>
      <c r="EI23" s="10">
        <v>1.1399999999999999</v>
      </c>
      <c r="EJ23" s="10">
        <v>1.1399999999999999</v>
      </c>
      <c r="EK23" s="10">
        <v>1.1399999999999999</v>
      </c>
      <c r="EL23" s="10">
        <v>1.1399999999999999</v>
      </c>
      <c r="EM23" s="10">
        <v>1.1399999999999999</v>
      </c>
      <c r="EN23" s="10">
        <v>1.1399999999999999</v>
      </c>
      <c r="EO23" s="10">
        <v>1.1399999999999999</v>
      </c>
      <c r="EP23" s="10">
        <v>1.1399999999999999</v>
      </c>
      <c r="EQ23" s="10">
        <v>1.1399999999999999</v>
      </c>
      <c r="ER23" s="10">
        <v>1.1399999999999999</v>
      </c>
      <c r="ES23" s="10">
        <v>1.1399999999999999</v>
      </c>
      <c r="ET23" s="10">
        <v>1.1399999999999999</v>
      </c>
      <c r="EU23" s="10">
        <v>1.1399999999999999</v>
      </c>
      <c r="EV23" s="10">
        <v>1.1399999999999999</v>
      </c>
      <c r="EW23" s="10">
        <v>1.1399999999999999</v>
      </c>
      <c r="EX23" s="10">
        <v>1.1399999999999999</v>
      </c>
      <c r="EY23" s="10">
        <v>1.1399999999999999</v>
      </c>
      <c r="EZ23" s="10">
        <v>1.1399999999999999</v>
      </c>
      <c r="FA23" s="10">
        <v>1.1399999999999999</v>
      </c>
      <c r="FB23" s="10">
        <v>1.1399999999999999</v>
      </c>
      <c r="FC23" s="10">
        <v>1.1399999999999999</v>
      </c>
      <c r="FD23" s="10">
        <v>1.1399999999999999</v>
      </c>
      <c r="FE23" s="10">
        <v>1.1399999999999999</v>
      </c>
      <c r="FF23" s="10">
        <v>1.1399999999999999</v>
      </c>
      <c r="FG23" s="10">
        <v>1.1399999999999999</v>
      </c>
      <c r="FH23" s="10">
        <v>1.1399999999999999</v>
      </c>
      <c r="FI23" s="10">
        <v>1.1399999999999999</v>
      </c>
      <c r="FJ23" s="10">
        <v>1.1399999999999999</v>
      </c>
      <c r="FK23" s="10">
        <v>1.1399999999999999</v>
      </c>
    </row>
    <row r="24" spans="3:167" x14ac:dyDescent="0.2">
      <c r="C24" s="10">
        <f t="shared" si="9"/>
        <v>2568300</v>
      </c>
      <c r="D24" s="10">
        <f t="shared" si="10"/>
        <v>7826300</v>
      </c>
      <c r="E24" s="10" cm="1">
        <f t="array" ref="E24">gavg(AF24,EL24)</f>
        <v>4597790.9772043293</v>
      </c>
      <c r="F24" s="10" cm="1">
        <f t="array" ref="F24">lnstdev(AF24,EL24)</f>
        <v>0.51794215505629726</v>
      </c>
      <c r="G24" s="10">
        <f t="shared" si="11"/>
        <v>111</v>
      </c>
      <c r="H24" s="10">
        <f t="shared" si="12"/>
        <v>5607742.8866577698</v>
      </c>
      <c r="I24" s="10">
        <f t="shared" si="13"/>
        <v>5607742.8866577698</v>
      </c>
      <c r="J24" s="10"/>
      <c r="K24" s="10"/>
      <c r="L24" s="10">
        <f t="shared" si="14"/>
        <v>10</v>
      </c>
      <c r="M24" s="10">
        <f t="shared" si="15"/>
        <v>2830000</v>
      </c>
      <c r="N24" s="10">
        <f t="shared" si="16"/>
        <v>2830000</v>
      </c>
      <c r="O24" s="10">
        <f t="shared" si="17"/>
        <v>23</v>
      </c>
      <c r="P24" s="10">
        <f t="shared" si="18"/>
        <v>2568300</v>
      </c>
      <c r="Q24" s="10">
        <f t="shared" si="19"/>
        <v>2568300</v>
      </c>
      <c r="R24" s="10">
        <f t="shared" si="20"/>
        <v>29</v>
      </c>
      <c r="S24" s="10">
        <f t="shared" si="21"/>
        <v>7826300</v>
      </c>
      <c r="T24" s="10">
        <f t="shared" si="22"/>
        <v>7826300</v>
      </c>
      <c r="U24" s="10">
        <f t="shared" si="23"/>
        <v>31</v>
      </c>
      <c r="V24" s="10">
        <f t="shared" si="0"/>
        <v>7826300</v>
      </c>
      <c r="W24" s="10">
        <f t="shared" si="1"/>
        <v>7826300</v>
      </c>
      <c r="X24" s="10">
        <f t="shared" si="2"/>
        <v>18</v>
      </c>
      <c r="Y24" s="10">
        <f t="shared" si="3"/>
        <v>7826300</v>
      </c>
      <c r="Z24" s="10">
        <f t="shared" si="4"/>
        <v>7826300</v>
      </c>
      <c r="AA24" s="10">
        <f t="shared" si="5"/>
        <v>4</v>
      </c>
      <c r="AB24" s="10">
        <f t="shared" si="6"/>
        <v>7826300</v>
      </c>
      <c r="AC24" s="10">
        <f t="shared" si="7"/>
        <v>7826300</v>
      </c>
      <c r="AD24" s="10">
        <f t="shared" si="8"/>
        <v>14</v>
      </c>
      <c r="AE24" t="s">
        <v>111</v>
      </c>
      <c r="AF24" s="10">
        <v>5607742.8866577698</v>
      </c>
      <c r="AG24" s="10">
        <v>5607742.8866577698</v>
      </c>
      <c r="AH24" s="10">
        <v>5607742.8866577698</v>
      </c>
      <c r="AI24" s="10">
        <v>5607742.8866577698</v>
      </c>
      <c r="AJ24" s="10">
        <v>5607742.8866577698</v>
      </c>
      <c r="AK24" s="10">
        <v>5607742.8866577698</v>
      </c>
      <c r="AL24" s="10">
        <v>5607742.8866577698</v>
      </c>
      <c r="AM24" s="10">
        <v>5607742.8866577698</v>
      </c>
      <c r="AN24" s="10">
        <v>5607742.8866577698</v>
      </c>
      <c r="AO24" s="10">
        <v>5607742.8866577698</v>
      </c>
      <c r="AP24" s="10">
        <v>2830000</v>
      </c>
      <c r="AQ24" s="10">
        <v>2830000</v>
      </c>
      <c r="AR24" s="10">
        <v>2830000</v>
      </c>
      <c r="AS24" s="10">
        <v>2830000</v>
      </c>
      <c r="AT24" s="10">
        <v>2830000</v>
      </c>
      <c r="AU24" s="10">
        <v>2830000</v>
      </c>
      <c r="AV24" s="10">
        <v>2830000</v>
      </c>
      <c r="AW24" s="10">
        <v>2830000</v>
      </c>
      <c r="AX24" s="10">
        <v>2830000</v>
      </c>
      <c r="AY24" s="10">
        <v>2830000</v>
      </c>
      <c r="AZ24" s="10">
        <v>2830000</v>
      </c>
      <c r="BA24" s="10">
        <v>2830000</v>
      </c>
      <c r="BB24" s="10">
        <v>2830000</v>
      </c>
      <c r="BC24" s="10">
        <v>2830000</v>
      </c>
      <c r="BD24" s="10">
        <v>2830000</v>
      </c>
      <c r="BE24" s="10">
        <v>2830000</v>
      </c>
      <c r="BF24" s="10">
        <v>2830000</v>
      </c>
      <c r="BG24" s="10">
        <v>2830000</v>
      </c>
      <c r="BH24" s="10">
        <v>2830000</v>
      </c>
      <c r="BI24" s="10">
        <v>2830000</v>
      </c>
      <c r="BJ24" s="10">
        <v>2830000</v>
      </c>
      <c r="BK24" s="10">
        <v>2830000</v>
      </c>
      <c r="BL24" s="10">
        <v>2830000</v>
      </c>
      <c r="BM24" s="10">
        <v>2568300</v>
      </c>
      <c r="BN24" s="10">
        <v>2568300</v>
      </c>
      <c r="BO24" s="10">
        <v>2568300</v>
      </c>
      <c r="BP24" s="10">
        <v>2568300</v>
      </c>
      <c r="BQ24" s="10">
        <v>2568300</v>
      </c>
      <c r="BR24" s="10">
        <v>2568300</v>
      </c>
      <c r="BS24" s="10">
        <v>2568300</v>
      </c>
      <c r="BT24" s="10">
        <v>2568300</v>
      </c>
      <c r="BU24" s="10">
        <v>2568300</v>
      </c>
      <c r="BV24" s="10">
        <v>2568300</v>
      </c>
      <c r="BW24" s="10">
        <v>2568300</v>
      </c>
      <c r="BX24" s="10">
        <v>2568300</v>
      </c>
      <c r="BY24" s="10">
        <v>2568300</v>
      </c>
      <c r="BZ24" s="10">
        <v>2568300</v>
      </c>
      <c r="CA24" s="10">
        <v>2568300</v>
      </c>
      <c r="CB24" s="10">
        <v>2568300</v>
      </c>
      <c r="CC24" s="10">
        <v>2568300</v>
      </c>
      <c r="CD24" s="10">
        <v>2568300</v>
      </c>
      <c r="CE24" s="10">
        <v>2568300</v>
      </c>
      <c r="CF24" s="10">
        <v>2568300</v>
      </c>
      <c r="CG24" s="10">
        <v>2568300</v>
      </c>
      <c r="CH24" s="10">
        <v>2568300</v>
      </c>
      <c r="CI24" s="10">
        <v>2568300</v>
      </c>
      <c r="CJ24" s="10">
        <v>2568300</v>
      </c>
      <c r="CK24" s="10">
        <v>2568300</v>
      </c>
      <c r="CL24" s="10">
        <v>2568300</v>
      </c>
      <c r="CM24" s="10">
        <v>2568300</v>
      </c>
      <c r="CN24" s="10">
        <v>2568300</v>
      </c>
      <c r="CO24" s="10">
        <v>2568300</v>
      </c>
      <c r="CP24" s="10">
        <v>7826300</v>
      </c>
      <c r="CQ24" s="10">
        <v>7826300</v>
      </c>
      <c r="CR24" s="10">
        <v>7826300</v>
      </c>
      <c r="CS24" s="10">
        <v>7826300</v>
      </c>
      <c r="CT24" s="10">
        <v>7826300</v>
      </c>
      <c r="CU24" s="10">
        <v>7826300</v>
      </c>
      <c r="CV24" s="10">
        <v>7826300</v>
      </c>
      <c r="CW24" s="10">
        <v>7826300</v>
      </c>
      <c r="CX24" s="10">
        <v>7826300</v>
      </c>
      <c r="CY24" s="10">
        <v>7826300</v>
      </c>
      <c r="CZ24" s="10">
        <v>7826300</v>
      </c>
      <c r="DA24" s="10">
        <v>7826300</v>
      </c>
      <c r="DB24" s="10">
        <v>7826300</v>
      </c>
      <c r="DC24" s="10">
        <v>7826300</v>
      </c>
      <c r="DD24" s="10">
        <v>7826300</v>
      </c>
      <c r="DE24" s="10">
        <v>7826300</v>
      </c>
      <c r="DF24" s="10">
        <v>7826300</v>
      </c>
      <c r="DG24" s="10">
        <v>7826300</v>
      </c>
      <c r="DH24" s="10">
        <v>7826300</v>
      </c>
      <c r="DI24" s="10">
        <v>7826300</v>
      </c>
      <c r="DJ24" s="10">
        <v>7826300</v>
      </c>
      <c r="DK24" s="10">
        <v>7826300</v>
      </c>
      <c r="DL24" s="10">
        <v>7826300</v>
      </c>
      <c r="DM24" s="10">
        <v>7826300</v>
      </c>
      <c r="DN24" s="10">
        <v>7826300</v>
      </c>
      <c r="DO24" s="10">
        <v>7826300</v>
      </c>
      <c r="DP24" s="10">
        <v>7826300</v>
      </c>
      <c r="DQ24" s="10">
        <v>7826300</v>
      </c>
      <c r="DR24" s="10">
        <v>7826300</v>
      </c>
      <c r="DS24" s="10">
        <v>7826300</v>
      </c>
      <c r="DT24" s="10">
        <v>7826300</v>
      </c>
      <c r="DU24" s="10">
        <v>7826300</v>
      </c>
      <c r="DV24" s="10">
        <v>7826300</v>
      </c>
      <c r="DW24" s="10">
        <v>7826300</v>
      </c>
      <c r="DX24" s="10">
        <v>7826300</v>
      </c>
      <c r="DY24" s="10">
        <v>7826300</v>
      </c>
      <c r="DZ24" s="10">
        <v>7826300</v>
      </c>
      <c r="EA24" s="10">
        <v>7826300</v>
      </c>
      <c r="EB24" s="10">
        <v>7826300</v>
      </c>
      <c r="EC24" s="10">
        <v>7826300</v>
      </c>
      <c r="ED24" s="10">
        <v>7826300</v>
      </c>
      <c r="EE24" s="10">
        <v>7826300</v>
      </c>
      <c r="EF24" s="10">
        <v>7826300</v>
      </c>
      <c r="EG24" s="10">
        <v>7826300</v>
      </c>
      <c r="EH24" s="10">
        <v>7826300</v>
      </c>
      <c r="EI24" s="10">
        <v>7826300</v>
      </c>
      <c r="EJ24" s="10">
        <v>7826300</v>
      </c>
      <c r="EK24" s="10">
        <v>7826300</v>
      </c>
      <c r="EL24" s="10">
        <v>7826300</v>
      </c>
      <c r="EM24" s="10">
        <v>7826300</v>
      </c>
      <c r="EN24" s="10">
        <v>7826300</v>
      </c>
      <c r="EO24" s="10">
        <v>7826300</v>
      </c>
      <c r="EP24" s="10">
        <v>7826300</v>
      </c>
      <c r="EQ24" s="10">
        <v>7826300</v>
      </c>
      <c r="ER24" s="10">
        <v>7826300</v>
      </c>
      <c r="ES24" s="10">
        <v>7826300</v>
      </c>
      <c r="ET24" s="10">
        <v>7826300</v>
      </c>
      <c r="EU24" s="10">
        <v>7826300</v>
      </c>
      <c r="EV24" s="10">
        <v>7826300</v>
      </c>
      <c r="EW24" s="10">
        <v>7826300</v>
      </c>
      <c r="EX24" s="10">
        <v>7826300</v>
      </c>
      <c r="EY24" s="10">
        <v>7826300</v>
      </c>
      <c r="EZ24" s="10">
        <v>7826300</v>
      </c>
      <c r="FA24" s="10">
        <v>7826300</v>
      </c>
      <c r="FB24" s="10">
        <v>7826300</v>
      </c>
      <c r="FC24" s="10">
        <v>7826300</v>
      </c>
      <c r="FD24" s="10">
        <v>7826300</v>
      </c>
      <c r="FE24" s="10">
        <v>7826300</v>
      </c>
      <c r="FF24" s="10">
        <v>7826300</v>
      </c>
      <c r="FG24" s="10">
        <v>7826300</v>
      </c>
      <c r="FH24" s="10">
        <v>7826300</v>
      </c>
      <c r="FI24" s="10">
        <v>7826300</v>
      </c>
      <c r="FJ24" s="10">
        <v>7826300</v>
      </c>
      <c r="FK24" s="10">
        <v>7826300</v>
      </c>
    </row>
    <row r="25" spans="3:167" x14ac:dyDescent="0.2">
      <c r="C25" s="10">
        <f t="shared" si="9"/>
        <v>121.10917000000001</v>
      </c>
      <c r="D25" s="10">
        <f t="shared" si="10"/>
        <v>6013.7705078125</v>
      </c>
      <c r="E25" s="10" cm="1">
        <f t="array" ref="E25">gavg(AF25,EL25)</f>
        <v>832.4297261455439</v>
      </c>
      <c r="F25" s="10" cm="1">
        <f t="array" ref="F25">lnstdev(AF25,EL25)</f>
        <v>1.0087040820751361</v>
      </c>
      <c r="G25" s="10">
        <f t="shared" si="11"/>
        <v>111</v>
      </c>
      <c r="H25" s="10">
        <f t="shared" si="12"/>
        <v>121.10917000000001</v>
      </c>
      <c r="I25" s="10">
        <f t="shared" si="13"/>
        <v>121.73596000000001</v>
      </c>
      <c r="J25" s="10"/>
      <c r="K25" s="10"/>
      <c r="L25" s="10">
        <f t="shared" si="14"/>
        <v>10</v>
      </c>
      <c r="M25" s="10">
        <f t="shared" si="15"/>
        <v>703.64849853515625</v>
      </c>
      <c r="N25" s="10">
        <f t="shared" si="16"/>
        <v>712.25311279296875</v>
      </c>
      <c r="O25" s="10">
        <f t="shared" si="17"/>
        <v>23</v>
      </c>
      <c r="P25" s="10">
        <f t="shared" si="18"/>
        <v>235.3880615234375</v>
      </c>
      <c r="Q25" s="10">
        <f t="shared" si="19"/>
        <v>624.6563720703125</v>
      </c>
      <c r="R25" s="10">
        <f t="shared" si="20"/>
        <v>29</v>
      </c>
      <c r="S25" s="10">
        <f t="shared" si="21"/>
        <v>259.45706176757813</v>
      </c>
      <c r="T25" s="10">
        <f t="shared" si="22"/>
        <v>2030.427978515625</v>
      </c>
      <c r="U25" s="10">
        <f t="shared" si="23"/>
        <v>31</v>
      </c>
      <c r="V25" s="10">
        <f t="shared" si="0"/>
        <v>1168.9375</v>
      </c>
      <c r="W25" s="10">
        <f t="shared" si="1"/>
        <v>6013.7705078125</v>
      </c>
      <c r="X25" s="10">
        <f t="shared" si="2"/>
        <v>18</v>
      </c>
      <c r="Y25" s="10">
        <f t="shared" si="3"/>
        <v>1168.9375</v>
      </c>
      <c r="Z25" s="10">
        <f t="shared" si="4"/>
        <v>5922.806640625</v>
      </c>
      <c r="AA25" s="10">
        <f t="shared" si="5"/>
        <v>4</v>
      </c>
      <c r="AB25" s="10">
        <f t="shared" si="6"/>
        <v>2122.1630859375</v>
      </c>
      <c r="AC25" s="10">
        <f t="shared" si="7"/>
        <v>6013.7705078125</v>
      </c>
      <c r="AD25" s="10">
        <f t="shared" si="8"/>
        <v>14</v>
      </c>
      <c r="AE25" t="s">
        <v>319</v>
      </c>
      <c r="AF25" s="10">
        <v>121.10917000000001</v>
      </c>
      <c r="AG25" s="10">
        <v>121.33944</v>
      </c>
      <c r="AH25" s="10">
        <v>121.67952</v>
      </c>
      <c r="AI25" s="10">
        <v>121.59232</v>
      </c>
      <c r="AJ25" s="10">
        <v>121.72293000000001</v>
      </c>
      <c r="AK25" s="10">
        <v>121.73596000000001</v>
      </c>
      <c r="AL25" s="10">
        <v>121.47261</v>
      </c>
      <c r="AM25" s="10">
        <v>121.57632</v>
      </c>
      <c r="AN25" s="10">
        <v>121.33365000000001</v>
      </c>
      <c r="AO25" s="10">
        <v>121.51369</v>
      </c>
      <c r="AP25" s="10">
        <v>709.68548583984375</v>
      </c>
      <c r="AQ25" s="10">
        <v>710.69451904296875</v>
      </c>
      <c r="AR25" s="10">
        <v>711.08428955078125</v>
      </c>
      <c r="AS25" s="10">
        <v>712.23162841796875</v>
      </c>
      <c r="AT25" s="10">
        <v>711.90386962890625</v>
      </c>
      <c r="AU25" s="10">
        <v>708.5638427734375</v>
      </c>
      <c r="AV25" s="10">
        <v>712.25311279296875</v>
      </c>
      <c r="AW25" s="10">
        <v>710.58746337890625</v>
      </c>
      <c r="AX25" s="10">
        <v>703.64849853515625</v>
      </c>
      <c r="AY25" s="10">
        <v>711.8983154296875</v>
      </c>
      <c r="AZ25" s="10">
        <v>703.91363525390625</v>
      </c>
      <c r="BA25" s="10">
        <v>711.08514404296875</v>
      </c>
      <c r="BB25" s="10">
        <v>711.6468505859375</v>
      </c>
      <c r="BC25" s="10">
        <v>711.24005126953125</v>
      </c>
      <c r="BD25" s="10">
        <v>706.21533203125</v>
      </c>
      <c r="BE25" s="10">
        <v>710.6512451171875</v>
      </c>
      <c r="BF25" s="10">
        <v>711.99688720703125</v>
      </c>
      <c r="BG25" s="10">
        <v>709.43798828125</v>
      </c>
      <c r="BH25" s="10">
        <v>710.4862060546875</v>
      </c>
      <c r="BI25" s="10">
        <v>710.0950927734375</v>
      </c>
      <c r="BJ25" s="10">
        <v>709.693359375</v>
      </c>
      <c r="BK25" s="10">
        <v>711.1611328125</v>
      </c>
      <c r="BL25" s="10">
        <v>709.02783203125</v>
      </c>
      <c r="BM25" s="10">
        <v>244.54048156738281</v>
      </c>
      <c r="BN25" s="10">
        <v>247.33232116699219</v>
      </c>
      <c r="BO25" s="10">
        <v>235.3880615234375</v>
      </c>
      <c r="BP25" s="10">
        <v>624.0953369140625</v>
      </c>
      <c r="BQ25" s="10">
        <v>624.6563720703125</v>
      </c>
      <c r="BR25" s="10">
        <v>621.9732666015625</v>
      </c>
      <c r="BS25" s="10">
        <v>620.73321533203125</v>
      </c>
      <c r="BT25" s="10">
        <v>618.42364501953125</v>
      </c>
      <c r="BU25" s="10">
        <v>615.8961181640625</v>
      </c>
      <c r="BV25" s="10">
        <v>613.526611328125</v>
      </c>
      <c r="BW25" s="10">
        <v>608.68756103515625</v>
      </c>
      <c r="BX25" s="10">
        <v>597.44610595703125</v>
      </c>
      <c r="BY25" s="10">
        <v>596.64385986328125</v>
      </c>
      <c r="BZ25" s="10">
        <v>592.79034423828125</v>
      </c>
      <c r="CA25" s="10">
        <v>588.4896240234375</v>
      </c>
      <c r="CB25" s="10">
        <v>593.1851806640625</v>
      </c>
      <c r="CC25" s="10">
        <v>590.09912109375</v>
      </c>
      <c r="CD25" s="10">
        <v>599.9996337890625</v>
      </c>
      <c r="CE25" s="10">
        <v>585.041259765625</v>
      </c>
      <c r="CF25" s="10">
        <v>581.78436279296875</v>
      </c>
      <c r="CG25" s="10">
        <v>584.0555419921875</v>
      </c>
      <c r="CH25" s="10">
        <v>535.58892822265625</v>
      </c>
      <c r="CI25" s="10">
        <v>519.1361083984375</v>
      </c>
      <c r="CJ25" s="10">
        <v>507.63192749023438</v>
      </c>
      <c r="CK25" s="10">
        <v>492.14096069335938</v>
      </c>
      <c r="CL25" s="10">
        <v>478.50039672851563</v>
      </c>
      <c r="CM25" s="10">
        <v>467.760498046875</v>
      </c>
      <c r="CN25" s="10">
        <v>425.19229125976563</v>
      </c>
      <c r="CO25" s="10">
        <v>447.93878173828125</v>
      </c>
      <c r="CP25" s="10">
        <v>1951.966064453125</v>
      </c>
      <c r="CQ25" s="10">
        <v>1931.857421875</v>
      </c>
      <c r="CR25" s="10">
        <v>1925.773681640625</v>
      </c>
      <c r="CS25" s="10">
        <v>1903.178466796875</v>
      </c>
      <c r="CT25" s="10">
        <v>1889.8463134765625</v>
      </c>
      <c r="CU25" s="10">
        <v>1855.8961181640625</v>
      </c>
      <c r="CV25" s="10">
        <v>1825.3056640625</v>
      </c>
      <c r="CW25" s="10">
        <v>1773.622802734375</v>
      </c>
      <c r="CX25" s="10">
        <v>1737.6868896484375</v>
      </c>
      <c r="CY25" s="10">
        <v>1679.09765625</v>
      </c>
      <c r="CZ25" s="10">
        <v>1636.8326416015625</v>
      </c>
      <c r="DA25" s="10">
        <v>1596.0181884765625</v>
      </c>
      <c r="DB25" s="10">
        <v>1550.126708984375</v>
      </c>
      <c r="DC25" s="10">
        <v>1471.74169921875</v>
      </c>
      <c r="DD25" s="10">
        <v>1979.328125</v>
      </c>
      <c r="DE25" s="10">
        <v>1692.283447265625</v>
      </c>
      <c r="DF25" s="10">
        <v>508.67572021484375</v>
      </c>
      <c r="DG25" s="10">
        <v>506.39453125</v>
      </c>
      <c r="DH25" s="10">
        <v>515.42803955078125</v>
      </c>
      <c r="DI25" s="10">
        <v>508.54037475585938</v>
      </c>
      <c r="DJ25" s="10">
        <v>502.16299438476563</v>
      </c>
      <c r="DK25" s="10">
        <v>497.53384399414063</v>
      </c>
      <c r="DL25" s="10">
        <v>493.70556640625</v>
      </c>
      <c r="DM25" s="10">
        <v>2014.341552734375</v>
      </c>
      <c r="DN25" s="10">
        <v>2030.427978515625</v>
      </c>
      <c r="DO25" s="10">
        <v>2002.087646484375</v>
      </c>
      <c r="DP25" s="10">
        <v>2006.5283203125</v>
      </c>
      <c r="DQ25" s="10">
        <v>2011.71484375</v>
      </c>
      <c r="DR25" s="10">
        <v>270.54595947265625</v>
      </c>
      <c r="DS25" s="10">
        <v>263.31341552734375</v>
      </c>
      <c r="DT25" s="10">
        <v>259.45706176757813</v>
      </c>
      <c r="DU25" s="10">
        <v>5922.806640625</v>
      </c>
      <c r="DV25" s="10">
        <v>5764.923828125</v>
      </c>
      <c r="DW25" s="10">
        <v>4037.977294921875</v>
      </c>
      <c r="DX25" s="10">
        <v>1168.9375</v>
      </c>
      <c r="DY25" s="10">
        <v>5997.79443359375</v>
      </c>
      <c r="DZ25" s="10">
        <v>6013.7705078125</v>
      </c>
      <c r="EA25" s="10">
        <v>6005.8046875</v>
      </c>
      <c r="EB25" s="10">
        <v>6008.9052734375</v>
      </c>
      <c r="EC25" s="10">
        <v>5957.529296875</v>
      </c>
      <c r="ED25" s="10">
        <v>5966.912109375</v>
      </c>
      <c r="EE25" s="10">
        <v>5967.4892578125</v>
      </c>
      <c r="EF25" s="10">
        <v>5957.41162109375</v>
      </c>
      <c r="EG25" s="10">
        <v>2160.172607421875</v>
      </c>
      <c r="EH25" s="10">
        <v>2122.297119140625</v>
      </c>
      <c r="EI25" s="10">
        <v>2122.1630859375</v>
      </c>
      <c r="EJ25" s="10">
        <v>2128.791015625</v>
      </c>
      <c r="EK25" s="10">
        <v>2130.93896484375</v>
      </c>
      <c r="EL25" s="10">
        <v>2126.17041015625</v>
      </c>
      <c r="EM25" s="10">
        <v>5643.96533203125</v>
      </c>
      <c r="EN25" s="10">
        <v>5623.2021484375</v>
      </c>
      <c r="EO25" s="10">
        <v>5603.6435546875</v>
      </c>
      <c r="EP25" s="10">
        <v>5601.34619140625</v>
      </c>
      <c r="EQ25" s="10">
        <v>5602.3720703125</v>
      </c>
      <c r="ER25" s="10">
        <v>5964.51611328125</v>
      </c>
      <c r="ES25" s="10">
        <v>5885.3466796875</v>
      </c>
      <c r="ET25" s="10">
        <v>5857.205078125</v>
      </c>
      <c r="EU25" s="10">
        <v>5836.56396484375</v>
      </c>
      <c r="EV25" s="10">
        <v>5825.61572265625</v>
      </c>
      <c r="EW25" s="10">
        <v>6018.10595703125</v>
      </c>
      <c r="EX25" s="10">
        <v>5936.73095703125</v>
      </c>
      <c r="EY25" s="10">
        <v>5853.87841796875</v>
      </c>
      <c r="EZ25" s="10">
        <v>5837.529296875</v>
      </c>
      <c r="FA25" s="10">
        <v>5826.00048828125</v>
      </c>
      <c r="FB25" s="10">
        <v>6042.32861328125</v>
      </c>
      <c r="FC25" s="10">
        <v>5948.0302734375</v>
      </c>
      <c r="FD25" s="10">
        <v>5921.78515625</v>
      </c>
      <c r="FE25" s="10">
        <v>5902.92431640625</v>
      </c>
      <c r="FF25" s="10">
        <v>5868.88525390625</v>
      </c>
      <c r="FG25" s="10">
        <v>6012.97119140625</v>
      </c>
      <c r="FH25" s="10">
        <v>5904.970703125</v>
      </c>
      <c r="FI25" s="10">
        <v>5888.7412109375</v>
      </c>
      <c r="FJ25" s="10">
        <v>5853.5322265625</v>
      </c>
      <c r="FK25" s="10">
        <v>2009.1051025390625</v>
      </c>
    </row>
    <row r="26" spans="3:167" x14ac:dyDescent="0.2">
      <c r="C26" s="10">
        <f t="shared" si="9"/>
        <v>120.8861</v>
      </c>
      <c r="D26" s="10">
        <f t="shared" si="10"/>
        <v>11067.3798828125</v>
      </c>
      <c r="E26" s="10" cm="1">
        <f t="array" ref="E26">gavg(AF26,EL26)</f>
        <v>1562.6840969334551</v>
      </c>
      <c r="F26" s="10" cm="1">
        <f t="array" ref="F26">lnstdev(AF26,EL26)</f>
        <v>1.1893047953232447</v>
      </c>
      <c r="G26" s="10">
        <f t="shared" si="11"/>
        <v>111</v>
      </c>
      <c r="H26" s="10">
        <f t="shared" si="12"/>
        <v>120.8861</v>
      </c>
      <c r="I26" s="10">
        <f t="shared" si="13"/>
        <v>147.68332000000001</v>
      </c>
      <c r="J26" s="10"/>
      <c r="K26" s="10"/>
      <c r="L26" s="10">
        <f t="shared" si="14"/>
        <v>10</v>
      </c>
      <c r="M26" s="10">
        <f t="shared" si="15"/>
        <v>697.765625</v>
      </c>
      <c r="N26" s="10">
        <f t="shared" si="16"/>
        <v>1162.3306884765625</v>
      </c>
      <c r="O26" s="10">
        <f t="shared" si="17"/>
        <v>23</v>
      </c>
      <c r="P26" s="10">
        <f t="shared" si="18"/>
        <v>299.77926635742188</v>
      </c>
      <c r="Q26" s="10">
        <f t="shared" si="19"/>
        <v>2637.210693359375</v>
      </c>
      <c r="R26" s="10">
        <f t="shared" si="20"/>
        <v>29</v>
      </c>
      <c r="S26" s="10">
        <f t="shared" si="21"/>
        <v>563.780029296875</v>
      </c>
      <c r="T26" s="10">
        <f t="shared" si="22"/>
        <v>7672.6591796875</v>
      </c>
      <c r="U26" s="10">
        <f t="shared" si="23"/>
        <v>31</v>
      </c>
      <c r="V26" s="10">
        <f t="shared" si="0"/>
        <v>6059.31494140625</v>
      </c>
      <c r="W26" s="10">
        <f t="shared" si="1"/>
        <v>11067.3798828125</v>
      </c>
      <c r="X26" s="10">
        <f t="shared" si="2"/>
        <v>18</v>
      </c>
      <c r="Y26" s="10">
        <f t="shared" si="3"/>
        <v>6512.4287109375</v>
      </c>
      <c r="Z26" s="10">
        <f t="shared" si="4"/>
        <v>10295.7099609375</v>
      </c>
      <c r="AA26" s="10">
        <f t="shared" si="5"/>
        <v>4</v>
      </c>
      <c r="AB26" s="10">
        <f t="shared" si="6"/>
        <v>6059.31494140625</v>
      </c>
      <c r="AC26" s="10">
        <f t="shared" si="7"/>
        <v>11067.3798828125</v>
      </c>
      <c r="AD26" s="10">
        <f t="shared" si="8"/>
        <v>14</v>
      </c>
      <c r="AE26" t="s">
        <v>172</v>
      </c>
      <c r="AF26" s="10">
        <v>120.8861</v>
      </c>
      <c r="AG26" s="10">
        <v>121.06677999999999</v>
      </c>
      <c r="AH26" s="10">
        <v>121.15658999999999</v>
      </c>
      <c r="AI26" s="10">
        <v>121.50475</v>
      </c>
      <c r="AJ26" s="10">
        <v>123.46043</v>
      </c>
      <c r="AK26" s="10">
        <v>123.71934</v>
      </c>
      <c r="AL26" s="10">
        <v>126.13339000000001</v>
      </c>
      <c r="AM26" s="10">
        <v>133.82857000000001</v>
      </c>
      <c r="AN26" s="10">
        <v>139.85329999999999</v>
      </c>
      <c r="AO26" s="10">
        <v>147.68332000000001</v>
      </c>
      <c r="AP26" s="10">
        <v>715.5550537109375</v>
      </c>
      <c r="AQ26" s="10">
        <v>712.85186767578125</v>
      </c>
      <c r="AR26" s="10">
        <v>711.71221923828125</v>
      </c>
      <c r="AS26" s="10">
        <v>708.9627685546875</v>
      </c>
      <c r="AT26" s="10">
        <v>714.04302978515625</v>
      </c>
      <c r="AU26" s="10">
        <v>707.4693603515625</v>
      </c>
      <c r="AV26" s="10">
        <v>788.5013427734375</v>
      </c>
      <c r="AW26" s="10">
        <v>841.95697021484375</v>
      </c>
      <c r="AX26" s="10">
        <v>824.175537109375</v>
      </c>
      <c r="AY26" s="10">
        <v>845.738037109375</v>
      </c>
      <c r="AZ26" s="10">
        <v>849.04620361328125</v>
      </c>
      <c r="BA26" s="10">
        <v>885.00811767578125</v>
      </c>
      <c r="BB26" s="10">
        <v>938.1541748046875</v>
      </c>
      <c r="BC26" s="10">
        <v>980.34674072265625</v>
      </c>
      <c r="BD26" s="10">
        <v>1057.7789306640625</v>
      </c>
      <c r="BE26" s="10">
        <v>1111.576416015625</v>
      </c>
      <c r="BF26" s="10">
        <v>1148.654052734375</v>
      </c>
      <c r="BG26" s="10">
        <v>1162.3306884765625</v>
      </c>
      <c r="BH26" s="10">
        <v>1036.2490234375</v>
      </c>
      <c r="BI26" s="10">
        <v>706.0159912109375</v>
      </c>
      <c r="BJ26" s="10">
        <v>699.61883544921875</v>
      </c>
      <c r="BK26" s="10">
        <v>699.83880615234375</v>
      </c>
      <c r="BL26" s="10">
        <v>697.765625</v>
      </c>
      <c r="BM26" s="10">
        <v>299.77926635742188</v>
      </c>
      <c r="BN26" s="10">
        <v>571.19000244140625</v>
      </c>
      <c r="BO26" s="10">
        <v>1215.1622314453125</v>
      </c>
      <c r="BP26" s="10">
        <v>632.15399169921875</v>
      </c>
      <c r="BQ26" s="10">
        <v>654.77740478515625</v>
      </c>
      <c r="BR26" s="10">
        <v>650.13201904296875</v>
      </c>
      <c r="BS26" s="10">
        <v>703.6708984375</v>
      </c>
      <c r="BT26" s="10">
        <v>760.8216552734375</v>
      </c>
      <c r="BU26" s="10">
        <v>814.6734619140625</v>
      </c>
      <c r="BV26" s="10">
        <v>848.9683837890625</v>
      </c>
      <c r="BW26" s="10">
        <v>980.19830322265625</v>
      </c>
      <c r="BX26" s="10">
        <v>1050.5806884765625</v>
      </c>
      <c r="BY26" s="10">
        <v>1167.9510498046875</v>
      </c>
      <c r="BZ26" s="10">
        <v>599.96392822265625</v>
      </c>
      <c r="CA26" s="10">
        <v>811.46728515625</v>
      </c>
      <c r="CB26" s="10">
        <v>761.2838134765625</v>
      </c>
      <c r="CC26" s="10">
        <v>1110.6849365234375</v>
      </c>
      <c r="CD26" s="10">
        <v>1230.765869140625</v>
      </c>
      <c r="CE26" s="10">
        <v>1278.9320068359375</v>
      </c>
      <c r="CF26" s="10">
        <v>1330.6549072265625</v>
      </c>
      <c r="CG26" s="10">
        <v>1599.8695068359375</v>
      </c>
      <c r="CH26" s="10">
        <v>1900.3656005859375</v>
      </c>
      <c r="CI26" s="10">
        <v>1989.9798583984375</v>
      </c>
      <c r="CJ26" s="10">
        <v>2184.539794921875</v>
      </c>
      <c r="CK26" s="10">
        <v>2358.63330078125</v>
      </c>
      <c r="CL26" s="10">
        <v>2450.509033203125</v>
      </c>
      <c r="CM26" s="10">
        <v>2637.210693359375</v>
      </c>
      <c r="CN26" s="10">
        <v>2618.5517578125</v>
      </c>
      <c r="CO26" s="10">
        <v>2561.33203125</v>
      </c>
      <c r="CP26" s="10">
        <v>2014.734375</v>
      </c>
      <c r="CQ26" s="10">
        <v>2120.269287109375</v>
      </c>
      <c r="CR26" s="10">
        <v>2219.64111328125</v>
      </c>
      <c r="CS26" s="10">
        <v>2517.60595703125</v>
      </c>
      <c r="CT26" s="10">
        <v>2739.7177734375</v>
      </c>
      <c r="CU26" s="10">
        <v>2877.512939453125</v>
      </c>
      <c r="CV26" s="10">
        <v>3143.4775390625</v>
      </c>
      <c r="CW26" s="10">
        <v>3626.316162109375</v>
      </c>
      <c r="CX26" s="10">
        <v>3996.175048828125</v>
      </c>
      <c r="CY26" s="10">
        <v>4087.65966796875</v>
      </c>
      <c r="CZ26" s="10">
        <v>4536.689453125</v>
      </c>
      <c r="DA26" s="10">
        <v>4803.79736328125</v>
      </c>
      <c r="DB26" s="10">
        <v>5321.40625</v>
      </c>
      <c r="DC26" s="10">
        <v>4798.94921875</v>
      </c>
      <c r="DD26" s="10">
        <v>5247.64501953125</v>
      </c>
      <c r="DE26" s="10">
        <v>1709.284912109375</v>
      </c>
      <c r="DF26" s="10">
        <v>563.780029296875</v>
      </c>
      <c r="DG26" s="10">
        <v>835.52734375</v>
      </c>
      <c r="DH26" s="10">
        <v>4613.54736328125</v>
      </c>
      <c r="DI26" s="10">
        <v>5309.48291015625</v>
      </c>
      <c r="DJ26" s="10">
        <v>6032.46142578125</v>
      </c>
      <c r="DK26" s="10">
        <v>6787.84326171875</v>
      </c>
      <c r="DL26" s="10">
        <v>7672.6591796875</v>
      </c>
      <c r="DM26" s="10">
        <v>2017.345458984375</v>
      </c>
      <c r="DN26" s="10">
        <v>2035.8123779296875</v>
      </c>
      <c r="DO26" s="10">
        <v>2016.868408203125</v>
      </c>
      <c r="DP26" s="10">
        <v>2064.332275390625</v>
      </c>
      <c r="DQ26" s="10">
        <v>2026.39013671875</v>
      </c>
      <c r="DR26" s="10">
        <v>2779.52001953125</v>
      </c>
      <c r="DS26" s="10">
        <v>3688.687744140625</v>
      </c>
      <c r="DT26" s="10">
        <v>1647.885498046875</v>
      </c>
      <c r="DU26" s="10">
        <v>7773.51025390625</v>
      </c>
      <c r="DV26" s="10">
        <v>6512.4287109375</v>
      </c>
      <c r="DW26" s="10">
        <v>8350.3056640625</v>
      </c>
      <c r="DX26" s="10">
        <v>10295.7099609375</v>
      </c>
      <c r="DY26" s="10">
        <v>6059.31494140625</v>
      </c>
      <c r="DZ26" s="10">
        <v>6408.39892578125</v>
      </c>
      <c r="EA26" s="10">
        <v>6578.4951171875</v>
      </c>
      <c r="EB26" s="10">
        <v>7136.7109375</v>
      </c>
      <c r="EC26" s="10">
        <v>7374.818359375</v>
      </c>
      <c r="ED26" s="10">
        <v>7935.65673828125</v>
      </c>
      <c r="EE26" s="10">
        <v>8754.0009765625</v>
      </c>
      <c r="EF26" s="10">
        <v>8860.9111328125</v>
      </c>
      <c r="EG26" s="10">
        <v>7277.64599609375</v>
      </c>
      <c r="EH26" s="10">
        <v>8600.0517578125</v>
      </c>
      <c r="EI26" s="10">
        <v>9677.2021484375</v>
      </c>
      <c r="EJ26" s="10">
        <v>11067.3798828125</v>
      </c>
      <c r="EK26" s="10">
        <v>9297.4140625</v>
      </c>
      <c r="EL26" s="10">
        <v>7301.35302734375</v>
      </c>
      <c r="EM26" s="10">
        <v>5664.4541015625</v>
      </c>
      <c r="EN26" s="10">
        <v>5892.84033203125</v>
      </c>
      <c r="EO26" s="10">
        <v>7490.5673828125</v>
      </c>
      <c r="EP26" s="10">
        <v>8753.88671875</v>
      </c>
      <c r="EQ26" s="10">
        <v>10279.8759765625</v>
      </c>
      <c r="ER26" s="10">
        <v>5967.693359375</v>
      </c>
      <c r="ES26" s="10">
        <v>6120.2109375</v>
      </c>
      <c r="ET26" s="10">
        <v>7647.037109375</v>
      </c>
      <c r="EU26" s="10">
        <v>8883.5888671875</v>
      </c>
      <c r="EV26" s="10">
        <v>10353.701171875</v>
      </c>
      <c r="EW26" s="10">
        <v>6021.576171875</v>
      </c>
      <c r="EX26" s="10">
        <v>6182.46044921875</v>
      </c>
      <c r="EY26" s="10">
        <v>8051.68017578125</v>
      </c>
      <c r="EZ26" s="10">
        <v>9533.2734375</v>
      </c>
      <c r="FA26" s="10">
        <v>12677.4404296875</v>
      </c>
      <c r="FB26" s="10">
        <v>6042.681640625</v>
      </c>
      <c r="FC26" s="10">
        <v>6363.5771484375</v>
      </c>
      <c r="FD26" s="10">
        <v>8413.017578125</v>
      </c>
      <c r="FE26" s="10">
        <v>10295.4404296875</v>
      </c>
      <c r="FF26" s="10">
        <v>12576.4521484375</v>
      </c>
      <c r="FG26" s="10">
        <v>6031.4423828125</v>
      </c>
      <c r="FH26" s="10">
        <v>6504.1826171875</v>
      </c>
      <c r="FI26" s="10">
        <v>8518.263671875</v>
      </c>
      <c r="FJ26" s="10">
        <v>10226.90625</v>
      </c>
      <c r="FK26" s="10">
        <v>9730.73828125</v>
      </c>
    </row>
    <row r="27" spans="3:167" x14ac:dyDescent="0.2">
      <c r="C27" s="10">
        <f t="shared" si="9"/>
        <v>2.2662808999999999</v>
      </c>
      <c r="D27" s="10">
        <f t="shared" si="10"/>
        <v>1043.4007568359375</v>
      </c>
      <c r="E27" s="10" cm="1">
        <f t="array" ref="E27">gavg(AF27,EL27)</f>
        <v>93.90315574038253</v>
      </c>
      <c r="F27" s="10" cm="1">
        <f t="array" ref="F27">lnstdev(AF27,EL27)</f>
        <v>1.3427375244296278</v>
      </c>
      <c r="G27" s="10">
        <f t="shared" si="11"/>
        <v>111</v>
      </c>
      <c r="H27" s="10">
        <f t="shared" si="12"/>
        <v>2.2662808999999999</v>
      </c>
      <c r="I27" s="10">
        <f t="shared" si="13"/>
        <v>15.976673999999999</v>
      </c>
      <c r="J27" s="10"/>
      <c r="K27" s="10"/>
      <c r="L27" s="10">
        <f t="shared" si="14"/>
        <v>10</v>
      </c>
      <c r="M27" s="10">
        <f t="shared" si="15"/>
        <v>7.5806384086608887</v>
      </c>
      <c r="N27" s="10">
        <f t="shared" si="16"/>
        <v>394.3045654296875</v>
      </c>
      <c r="O27" s="10">
        <f t="shared" si="17"/>
        <v>23</v>
      </c>
      <c r="P27" s="10">
        <f t="shared" si="18"/>
        <v>9.9248037338256836</v>
      </c>
      <c r="Q27" s="10">
        <f t="shared" si="19"/>
        <v>220.1162109375</v>
      </c>
      <c r="R27" s="10">
        <f t="shared" si="20"/>
        <v>29</v>
      </c>
      <c r="S27" s="10">
        <f t="shared" si="21"/>
        <v>30.340480804443359</v>
      </c>
      <c r="T27" s="10">
        <f t="shared" si="22"/>
        <v>578.40093994140625</v>
      </c>
      <c r="U27" s="10">
        <f t="shared" si="23"/>
        <v>31</v>
      </c>
      <c r="V27" s="10">
        <f t="shared" si="0"/>
        <v>31.620903015136719</v>
      </c>
      <c r="W27" s="10">
        <f t="shared" si="1"/>
        <v>1043.4007568359375</v>
      </c>
      <c r="X27" s="10">
        <f t="shared" si="2"/>
        <v>18</v>
      </c>
      <c r="Y27" s="10">
        <f t="shared" si="3"/>
        <v>161.22200012207031</v>
      </c>
      <c r="Z27" s="10">
        <f t="shared" si="4"/>
        <v>1043.4007568359375</v>
      </c>
      <c r="AA27" s="10">
        <f t="shared" si="5"/>
        <v>4</v>
      </c>
      <c r="AB27" s="10">
        <f t="shared" si="6"/>
        <v>31.620903015136719</v>
      </c>
      <c r="AC27" s="10">
        <f t="shared" si="7"/>
        <v>812.19000244140625</v>
      </c>
      <c r="AD27" s="10">
        <f t="shared" si="8"/>
        <v>14</v>
      </c>
      <c r="AE27" t="s">
        <v>173</v>
      </c>
      <c r="AF27" s="10">
        <v>2.9710188</v>
      </c>
      <c r="AG27" s="10">
        <v>2.2662808999999999</v>
      </c>
      <c r="AH27" s="10">
        <v>7.0274196</v>
      </c>
      <c r="AI27" s="10">
        <v>9.9240866000000008</v>
      </c>
      <c r="AJ27" s="10">
        <v>11.164495000000001</v>
      </c>
      <c r="AK27" s="10">
        <v>15.976673999999999</v>
      </c>
      <c r="AL27" s="10">
        <v>14.340942</v>
      </c>
      <c r="AM27" s="10">
        <v>15.337669</v>
      </c>
      <c r="AN27" s="10">
        <v>14.539598</v>
      </c>
      <c r="AO27" s="10">
        <v>8.3988867000000003</v>
      </c>
      <c r="AP27" s="10">
        <v>7.5806384086608887</v>
      </c>
      <c r="AQ27" s="10">
        <v>13.167438507080078</v>
      </c>
      <c r="AR27" s="10">
        <v>54.072494506835938</v>
      </c>
      <c r="AS27" s="10">
        <v>40.602893829345703</v>
      </c>
      <c r="AT27" s="10">
        <v>57.403057098388672</v>
      </c>
      <c r="AU27" s="10">
        <v>133.80104064941406</v>
      </c>
      <c r="AV27" s="10">
        <v>72.369804382324219</v>
      </c>
      <c r="AW27" s="10">
        <v>280.89788818359375</v>
      </c>
      <c r="AX27" s="10">
        <v>116.53114318847656</v>
      </c>
      <c r="AY27" s="10">
        <v>203.77877807617188</v>
      </c>
      <c r="AZ27" s="10">
        <v>118.94123077392578</v>
      </c>
      <c r="BA27" s="10">
        <v>116.91374969482422</v>
      </c>
      <c r="BB27" s="10">
        <v>91.468971252441406</v>
      </c>
      <c r="BC27" s="10">
        <v>199.03277587890625</v>
      </c>
      <c r="BD27" s="10">
        <v>172.10958862304688</v>
      </c>
      <c r="BE27" s="10">
        <v>326.28677368164063</v>
      </c>
      <c r="BF27" s="10">
        <v>329.39971923828125</v>
      </c>
      <c r="BG27" s="10">
        <v>394.3045654296875</v>
      </c>
      <c r="BH27" s="10">
        <v>227.62277221679688</v>
      </c>
      <c r="BI27" s="10">
        <v>8.4508380889892578</v>
      </c>
      <c r="BJ27" s="10">
        <v>19.622030258178711</v>
      </c>
      <c r="BK27" s="10">
        <v>15.301499366760254</v>
      </c>
      <c r="BL27" s="10">
        <v>95.049484252929688</v>
      </c>
      <c r="BM27" s="10">
        <v>11.028244972229004</v>
      </c>
      <c r="BN27" s="10">
        <v>31.006519317626953</v>
      </c>
      <c r="BO27" s="10">
        <v>84.99334716796875</v>
      </c>
      <c r="BP27" s="10">
        <v>9.9248037338256836</v>
      </c>
      <c r="BQ27" s="10">
        <v>15.01026439666748</v>
      </c>
      <c r="BR27" s="10">
        <v>18.788503646850586</v>
      </c>
      <c r="BS27" s="10">
        <v>28.58970832824707</v>
      </c>
      <c r="BT27" s="10">
        <v>38.077732086181641</v>
      </c>
      <c r="BU27" s="10">
        <v>42.329643249511719</v>
      </c>
      <c r="BV27" s="10">
        <v>43.347328186035156</v>
      </c>
      <c r="BW27" s="10">
        <v>51.134044647216797</v>
      </c>
      <c r="BX27" s="10">
        <v>63.929714202880859</v>
      </c>
      <c r="BY27" s="10">
        <v>75.518386840820313</v>
      </c>
      <c r="BZ27" s="10">
        <v>16.635223388671875</v>
      </c>
      <c r="CA27" s="10">
        <v>37.945606231689453</v>
      </c>
      <c r="CB27" s="10">
        <v>33.784259796142578</v>
      </c>
      <c r="CC27" s="10">
        <v>71.877609252929688</v>
      </c>
      <c r="CD27" s="10">
        <v>82.663276672363281</v>
      </c>
      <c r="CE27" s="10">
        <v>78.635414123535156</v>
      </c>
      <c r="CF27" s="10">
        <v>82.969894409179688</v>
      </c>
      <c r="CG27" s="10">
        <v>123.32163238525391</v>
      </c>
      <c r="CH27" s="10">
        <v>137.50355529785156</v>
      </c>
      <c r="CI27" s="10">
        <v>162.31480407714844</v>
      </c>
      <c r="CJ27" s="10">
        <v>196.34544372558594</v>
      </c>
      <c r="CK27" s="10">
        <v>184.65158081054688</v>
      </c>
      <c r="CL27" s="10">
        <v>209.90985107421875</v>
      </c>
      <c r="CM27" s="10">
        <v>220.1162109375</v>
      </c>
      <c r="CN27" s="10">
        <v>217.42576599121094</v>
      </c>
      <c r="CO27" s="10">
        <v>214.26828002929688</v>
      </c>
      <c r="CP27" s="10">
        <v>65.804527282714844</v>
      </c>
      <c r="CQ27" s="10">
        <v>108.27725982666016</v>
      </c>
      <c r="CR27" s="10">
        <v>96.823516845703125</v>
      </c>
      <c r="CS27" s="10">
        <v>110.66743469238281</v>
      </c>
      <c r="CT27" s="10">
        <v>169.51640319824219</v>
      </c>
      <c r="CU27" s="10">
        <v>122.11759185791016</v>
      </c>
      <c r="CV27" s="10">
        <v>211.13197326660156</v>
      </c>
      <c r="CW27" s="10">
        <v>121.67406463623047</v>
      </c>
      <c r="CX27" s="10">
        <v>153.91941833496094</v>
      </c>
      <c r="CY27" s="10">
        <v>160.83724975585938</v>
      </c>
      <c r="CZ27" s="10">
        <v>194.46560668945313</v>
      </c>
      <c r="DA27" s="10">
        <v>176.39376831054688</v>
      </c>
      <c r="DB27" s="10">
        <v>246.11380004882813</v>
      </c>
      <c r="DC27" s="10">
        <v>578.40093994140625</v>
      </c>
      <c r="DD27" s="10">
        <v>300.30142211914063</v>
      </c>
      <c r="DE27" s="10">
        <v>47.047504425048828</v>
      </c>
      <c r="DF27" s="10">
        <v>60.735343933105469</v>
      </c>
      <c r="DG27" s="10">
        <v>156.18867492675781</v>
      </c>
      <c r="DH27" s="10">
        <v>227.68585205078125</v>
      </c>
      <c r="DI27" s="10">
        <v>270.37350463867188</v>
      </c>
      <c r="DJ27" s="10">
        <v>337.51248168945313</v>
      </c>
      <c r="DK27" s="10">
        <v>351.12115478515625</v>
      </c>
      <c r="DL27" s="10">
        <v>511.96377563476563</v>
      </c>
      <c r="DM27" s="10">
        <v>30.340480804443359</v>
      </c>
      <c r="DN27" s="10">
        <v>49.40576171875</v>
      </c>
      <c r="DO27" s="10">
        <v>46.651737213134766</v>
      </c>
      <c r="DP27" s="10">
        <v>43.987205505371094</v>
      </c>
      <c r="DQ27" s="10">
        <v>56.686733245849609</v>
      </c>
      <c r="DR27" s="10">
        <v>265.40481567382813</v>
      </c>
      <c r="DS27" s="10">
        <v>325.7806396484375</v>
      </c>
      <c r="DT27" s="10">
        <v>488.36868286132813</v>
      </c>
      <c r="DU27" s="10">
        <v>909.06378173828125</v>
      </c>
      <c r="DV27" s="10">
        <v>161.22200012207031</v>
      </c>
      <c r="DW27" s="10">
        <v>865.17437744140625</v>
      </c>
      <c r="DX27" s="10">
        <v>1043.4007568359375</v>
      </c>
      <c r="DY27" s="10">
        <v>31.620903015136719</v>
      </c>
      <c r="DZ27" s="10">
        <v>119.31726837158203</v>
      </c>
      <c r="EA27" s="10">
        <v>177.97492980957031</v>
      </c>
      <c r="EB27" s="10">
        <v>280.29428100585938</v>
      </c>
      <c r="EC27" s="10">
        <v>453.81707763671875</v>
      </c>
      <c r="ED27" s="10">
        <v>439.13973999023438</v>
      </c>
      <c r="EE27" s="10">
        <v>518.276123046875</v>
      </c>
      <c r="EF27" s="10">
        <v>437.82797241210938</v>
      </c>
      <c r="EG27" s="10">
        <v>461.34375</v>
      </c>
      <c r="EH27" s="10">
        <v>663.63970947265625</v>
      </c>
      <c r="EI27" s="10">
        <v>423.95742797851563</v>
      </c>
      <c r="EJ27" s="10">
        <v>634.1751708984375</v>
      </c>
      <c r="EK27" s="10">
        <v>812.19000244140625</v>
      </c>
      <c r="EL27" s="10">
        <v>516.14886474609375</v>
      </c>
      <c r="EM27" s="10">
        <v>15.845253944396973</v>
      </c>
      <c r="EN27" s="10">
        <v>24.800958633422852</v>
      </c>
      <c r="EO27" s="10">
        <v>37.461856842041016</v>
      </c>
      <c r="EP27" s="10">
        <v>45.426036834716797</v>
      </c>
      <c r="EQ27" s="10">
        <v>59.803565979003906</v>
      </c>
      <c r="ER27" s="10">
        <v>17.076417922973633</v>
      </c>
      <c r="ES27" s="10">
        <v>25.712491989135742</v>
      </c>
      <c r="ET27" s="10">
        <v>64.353851318359375</v>
      </c>
      <c r="EU27" s="10">
        <v>48.546375274658203</v>
      </c>
      <c r="EV27" s="10">
        <v>63.972160339355469</v>
      </c>
      <c r="EW27" s="10">
        <v>16.062108993530273</v>
      </c>
      <c r="EX27" s="10">
        <v>25.381372451782227</v>
      </c>
      <c r="EY27" s="10">
        <v>101.294677734375</v>
      </c>
      <c r="EZ27" s="10">
        <v>116.60385894775391</v>
      </c>
      <c r="FA27" s="10">
        <v>227.49134826660156</v>
      </c>
      <c r="FB27" s="10">
        <v>16.306337356567383</v>
      </c>
      <c r="FC27" s="10">
        <v>75.485443115234375</v>
      </c>
      <c r="FD27" s="10">
        <v>303.40740966796875</v>
      </c>
      <c r="FE27" s="10">
        <v>522.71588134765625</v>
      </c>
      <c r="FF27" s="10">
        <v>689.94207763671875</v>
      </c>
      <c r="FG27" s="10">
        <v>23.966939926147461</v>
      </c>
      <c r="FH27" s="10">
        <v>81.291114807128906</v>
      </c>
      <c r="FI27" s="10">
        <v>828.28802490234375</v>
      </c>
      <c r="FJ27" s="10">
        <v>664.0885009765625</v>
      </c>
      <c r="FK27" s="10">
        <v>690.20269775390625</v>
      </c>
    </row>
    <row r="28" spans="3:167" x14ac:dyDescent="0.2">
      <c r="C28" s="10">
        <f t="shared" si="9"/>
        <v>0</v>
      </c>
      <c r="D28" s="10">
        <f t="shared" si="10"/>
        <v>206.81448694555013</v>
      </c>
      <c r="E28" s="10" cm="1">
        <f t="array" ref="E28">gavg(AF28,EL28)</f>
        <v>11.221080856132051</v>
      </c>
      <c r="F28" s="10" cm="1">
        <f t="array" ref="F28">lnstdev(AF28,EL28)</f>
        <v>1.1770093864717965</v>
      </c>
      <c r="G28" s="10">
        <f t="shared" si="11"/>
        <v>111</v>
      </c>
      <c r="H28" s="10">
        <f t="shared" si="12"/>
        <v>0</v>
      </c>
      <c r="I28" s="10">
        <f t="shared" si="13"/>
        <v>0</v>
      </c>
      <c r="J28" s="10"/>
      <c r="K28" s="10"/>
      <c r="L28" s="10">
        <f t="shared" si="14"/>
        <v>10</v>
      </c>
      <c r="M28" s="10">
        <f t="shared" si="15"/>
        <v>0</v>
      </c>
      <c r="N28" s="10">
        <f t="shared" si="16"/>
        <v>0</v>
      </c>
      <c r="O28" s="10">
        <f t="shared" si="17"/>
        <v>23</v>
      </c>
      <c r="P28" s="10">
        <f t="shared" si="18"/>
        <v>5.7996426307811131</v>
      </c>
      <c r="Q28" s="10">
        <f t="shared" si="19"/>
        <v>206.81448694555013</v>
      </c>
      <c r="R28" s="10">
        <f t="shared" si="20"/>
        <v>29</v>
      </c>
      <c r="S28" s="10">
        <f t="shared" si="21"/>
        <v>2.6400108652703662</v>
      </c>
      <c r="T28" s="10">
        <f t="shared" si="22"/>
        <v>41.231324245378786</v>
      </c>
      <c r="U28" s="10">
        <f t="shared" si="23"/>
        <v>31</v>
      </c>
      <c r="V28" s="10">
        <f t="shared" si="0"/>
        <v>0.5200010890747685</v>
      </c>
      <c r="W28" s="10">
        <f t="shared" si="1"/>
        <v>6.461609805833926</v>
      </c>
      <c r="X28" s="10">
        <f t="shared" si="2"/>
        <v>18</v>
      </c>
      <c r="Y28" s="10">
        <f t="shared" si="3"/>
        <v>1.8660130969609807</v>
      </c>
      <c r="Z28" s="10">
        <f t="shared" si="4"/>
        <v>5.3996491034362908</v>
      </c>
      <c r="AA28" s="10">
        <f t="shared" si="5"/>
        <v>4</v>
      </c>
      <c r="AB28" s="10">
        <f t="shared" si="6"/>
        <v>0.5200010890747685</v>
      </c>
      <c r="AC28" s="10">
        <f t="shared" si="7"/>
        <v>6.461609805833926</v>
      </c>
      <c r="AD28" s="10">
        <f t="shared" si="8"/>
        <v>14</v>
      </c>
      <c r="AE28" t="s">
        <v>118</v>
      </c>
      <c r="AF28" s="10">
        <v>0</v>
      </c>
      <c r="AG28" s="10">
        <v>0</v>
      </c>
      <c r="AH28" s="10">
        <v>0</v>
      </c>
      <c r="AI28" s="10">
        <v>0</v>
      </c>
      <c r="AJ28" s="10">
        <v>0</v>
      </c>
      <c r="AK28" s="10">
        <v>0</v>
      </c>
      <c r="AL28" s="10">
        <v>0</v>
      </c>
      <c r="AM28" s="10">
        <v>0</v>
      </c>
      <c r="AN28" s="10">
        <v>0</v>
      </c>
      <c r="AO28" s="10">
        <v>0</v>
      </c>
      <c r="AP28" s="10">
        <v>0</v>
      </c>
      <c r="AQ28" s="10">
        <v>0</v>
      </c>
      <c r="AR28" s="10">
        <v>0</v>
      </c>
      <c r="AS28" s="10">
        <v>0</v>
      </c>
      <c r="AT28" s="10">
        <v>0</v>
      </c>
      <c r="AU28" s="10">
        <v>0</v>
      </c>
      <c r="AV28" s="10">
        <v>0</v>
      </c>
      <c r="AW28" s="10">
        <v>0</v>
      </c>
      <c r="AX28" s="10">
        <v>0</v>
      </c>
      <c r="AY28" s="10">
        <v>0</v>
      </c>
      <c r="AZ28" s="10">
        <v>0</v>
      </c>
      <c r="BA28" s="10">
        <v>0</v>
      </c>
      <c r="BB28" s="10">
        <v>0</v>
      </c>
      <c r="BC28" s="10">
        <v>0</v>
      </c>
      <c r="BD28" s="10">
        <v>0</v>
      </c>
      <c r="BE28" s="10">
        <v>0</v>
      </c>
      <c r="BF28" s="10">
        <v>0</v>
      </c>
      <c r="BG28" s="10">
        <v>0</v>
      </c>
      <c r="BH28" s="10">
        <v>0</v>
      </c>
      <c r="BI28" s="10">
        <v>0</v>
      </c>
      <c r="BJ28" s="10">
        <v>0</v>
      </c>
      <c r="BK28" s="10">
        <v>0</v>
      </c>
      <c r="BL28" s="10">
        <v>0</v>
      </c>
      <c r="BM28" s="10">
        <v>5.7996426307811131</v>
      </c>
      <c r="BN28" s="10">
        <v>24.798405000263628</v>
      </c>
      <c r="BO28" s="10">
        <v>42.797462559755957</v>
      </c>
      <c r="BP28" s="10">
        <v>6.3995802425274366</v>
      </c>
      <c r="BQ28" s="10">
        <v>7.5200146680662332</v>
      </c>
      <c r="BR28" s="10">
        <v>16.79708889702928</v>
      </c>
      <c r="BS28" s="10">
        <v>19.732006547043706</v>
      </c>
      <c r="BT28" s="10">
        <v>11.199291783035214</v>
      </c>
      <c r="BU28" s="10">
        <v>12.599180224042167</v>
      </c>
      <c r="BV28" s="10">
        <v>12.999144388483423</v>
      </c>
      <c r="BW28" s="10">
        <v>14.586419530939391</v>
      </c>
      <c r="BX28" s="10">
        <v>16.267437172915479</v>
      </c>
      <c r="BY28" s="10">
        <v>18.130158826773698</v>
      </c>
      <c r="BZ28" s="10">
        <v>6.3332570494564671</v>
      </c>
      <c r="CA28" s="10">
        <v>12.794903636383877</v>
      </c>
      <c r="CB28" s="10">
        <v>12.399207838743378</v>
      </c>
      <c r="CC28" s="10">
        <v>16.990464063558935</v>
      </c>
      <c r="CD28" s="10">
        <v>39.42037992112288</v>
      </c>
      <c r="CE28" s="10">
        <v>18.929954878251852</v>
      </c>
      <c r="CF28" s="10">
        <v>40.000502286697696</v>
      </c>
      <c r="CG28" s="10">
        <v>47.550918361683578</v>
      </c>
      <c r="CH28" s="10">
        <v>118.65492172784005</v>
      </c>
      <c r="CI28" s="10">
        <v>189.97134188507749</v>
      </c>
      <c r="CJ28" s="10">
        <v>206.81448694555013</v>
      </c>
      <c r="CK28" s="10">
        <v>203.11913709874761</v>
      </c>
      <c r="CL28" s="10">
        <v>205.10088086153888</v>
      </c>
      <c r="CM28" s="10">
        <v>77.568886112351578</v>
      </c>
      <c r="CN28" s="10">
        <v>79.932573195316522</v>
      </c>
      <c r="CO28" s="10">
        <v>81.264772037019142</v>
      </c>
      <c r="CP28" s="10">
        <v>4.3332861306673038</v>
      </c>
      <c r="CQ28" s="10">
        <v>4.9600019941944629</v>
      </c>
      <c r="CR28" s="10">
        <v>6.3999964970911636</v>
      </c>
      <c r="CS28" s="10">
        <v>6.799570770700905</v>
      </c>
      <c r="CT28" s="10">
        <v>7.5995051715105912</v>
      </c>
      <c r="CU28" s="10">
        <v>8.8000302629183942</v>
      </c>
      <c r="CV28" s="10">
        <v>9.599401263582287</v>
      </c>
      <c r="CW28" s="10">
        <v>10.399316947556086</v>
      </c>
      <c r="CX28" s="10">
        <v>10.664776350548477</v>
      </c>
      <c r="CY28" s="10">
        <v>11.999204911918399</v>
      </c>
      <c r="CZ28" s="10">
        <v>13.067171784984364</v>
      </c>
      <c r="DA28" s="10">
        <v>13.999029204331945</v>
      </c>
      <c r="DB28" s="10">
        <v>14.46166079295728</v>
      </c>
      <c r="DC28" s="10">
        <v>16.567927186895567</v>
      </c>
      <c r="DD28" s="10">
        <v>14.15398926288718</v>
      </c>
      <c r="DE28" s="10">
        <v>3.0666408393237354</v>
      </c>
      <c r="DF28" s="10">
        <v>3.1932417920208271</v>
      </c>
      <c r="DG28" s="10">
        <v>5.1996635058943879</v>
      </c>
      <c r="DH28" s="10">
        <v>14.666467170235938</v>
      </c>
      <c r="DI28" s="10">
        <v>17.596857060058426</v>
      </c>
      <c r="DJ28" s="10">
        <v>38.994250785368457</v>
      </c>
      <c r="DK28" s="10">
        <v>41.231324245378786</v>
      </c>
      <c r="DL28" s="10">
        <v>22.391106756288629</v>
      </c>
      <c r="DM28" s="10">
        <v>4.8798493683059903</v>
      </c>
      <c r="DN28" s="10">
        <v>3.2000185847921623</v>
      </c>
      <c r="DO28" s="10">
        <v>2.6400108652703662</v>
      </c>
      <c r="DP28" s="10">
        <v>4.9996709415340685</v>
      </c>
      <c r="DQ28" s="10">
        <v>2.8800086707300183</v>
      </c>
      <c r="DR28" s="10">
        <v>13.799062307197064</v>
      </c>
      <c r="DS28" s="10">
        <v>16.530415137617712</v>
      </c>
      <c r="DT28" s="10">
        <v>9.5999997100783219</v>
      </c>
      <c r="DU28" s="10">
        <v>3.5997723699520896</v>
      </c>
      <c r="DV28" s="10">
        <v>1.8660130969609807</v>
      </c>
      <c r="DW28" s="10">
        <v>4.1477266708676375</v>
      </c>
      <c r="DX28" s="10">
        <v>5.3996491034362908</v>
      </c>
      <c r="DY28" s="10">
        <v>0.5200010890747685</v>
      </c>
      <c r="DZ28" s="10">
        <v>3.8663977340829683</v>
      </c>
      <c r="EA28" s="10">
        <v>2.5998281158067633</v>
      </c>
      <c r="EB28" s="10">
        <v>2.9997858144260454</v>
      </c>
      <c r="EC28" s="10">
        <v>3.1997936030279592</v>
      </c>
      <c r="ED28" s="10">
        <v>4.0000159051850961</v>
      </c>
      <c r="EE28" s="10">
        <v>3.9993027058163229</v>
      </c>
      <c r="EF28" s="10">
        <v>4.3997234047436073</v>
      </c>
      <c r="EG28" s="10">
        <v>4.6154325780039995</v>
      </c>
      <c r="EH28" s="10">
        <v>5.3327847749361279</v>
      </c>
      <c r="EI28" s="10">
        <v>5.999595137575076</v>
      </c>
      <c r="EJ28" s="10">
        <v>6.461609805833926</v>
      </c>
      <c r="EK28" s="10">
        <v>5.8669720616869103</v>
      </c>
      <c r="EL28" s="10">
        <v>4.7996739888019233</v>
      </c>
      <c r="EM28" s="10">
        <v>1.7499547598988872</v>
      </c>
      <c r="EN28" s="10">
        <v>1.7777527836742433</v>
      </c>
      <c r="EO28" s="10">
        <v>1.6969128594028617</v>
      </c>
      <c r="EP28" s="10">
        <v>4.3634951924622696</v>
      </c>
      <c r="EQ28" s="10">
        <v>2.5998250763297461</v>
      </c>
      <c r="ER28" s="10">
        <v>1.7999829843651898</v>
      </c>
      <c r="ES28" s="10">
        <v>1.7713977649482875</v>
      </c>
      <c r="ET28" s="10">
        <v>1.714259150270423</v>
      </c>
      <c r="EU28" s="10">
        <v>2.2856041546264585</v>
      </c>
      <c r="EV28" s="10">
        <v>2.5998275304118721</v>
      </c>
      <c r="EW28" s="10">
        <v>1.7599969402892164</v>
      </c>
      <c r="EX28" s="10">
        <v>1.7599998144392672</v>
      </c>
      <c r="EY28" s="10">
        <v>1.7332223708963277</v>
      </c>
      <c r="EZ28" s="10">
        <v>4.399670904364581</v>
      </c>
      <c r="FA28" s="10">
        <v>4.7492984216417753</v>
      </c>
      <c r="FB28" s="10">
        <v>1.7538126646975023</v>
      </c>
      <c r="FC28" s="10">
        <v>1.7618881784252403</v>
      </c>
      <c r="FD28" s="10">
        <v>3.3142166645110613</v>
      </c>
      <c r="FE28" s="10">
        <v>3.8399827150860499</v>
      </c>
      <c r="FF28" s="10">
        <v>4.5996941459846905</v>
      </c>
      <c r="FG28" s="10">
        <v>0.4249984828290303</v>
      </c>
      <c r="FH28" s="10">
        <v>3.0360977445477069</v>
      </c>
      <c r="FI28" s="10">
        <v>3.3331322099408345</v>
      </c>
      <c r="FJ28" s="10">
        <v>3.9999880965248842</v>
      </c>
      <c r="FK28" s="10">
        <v>4.9996635029536014</v>
      </c>
    </row>
    <row r="29" spans="3:167" x14ac:dyDescent="0.2">
      <c r="C29" s="10">
        <f t="shared" si="9"/>
        <v>0</v>
      </c>
      <c r="D29" s="10">
        <f t="shared" si="10"/>
        <v>0.11994610726833344</v>
      </c>
      <c r="E29" s="10" cm="1">
        <f t="array" ref="E29">gavg(AF29,EL29)</f>
        <v>1.9049064167247706E-2</v>
      </c>
      <c r="F29" s="10" cm="1">
        <f t="array" ref="F29">lnstdev(AF29,EL29)</f>
        <v>1.1138386003671221</v>
      </c>
      <c r="G29" s="10">
        <f t="shared" si="11"/>
        <v>111</v>
      </c>
      <c r="H29" s="10">
        <f t="shared" si="12"/>
        <v>0</v>
      </c>
      <c r="I29" s="10">
        <f t="shared" si="13"/>
        <v>0</v>
      </c>
      <c r="J29" s="10"/>
      <c r="K29" s="10"/>
      <c r="L29" s="10">
        <f t="shared" si="14"/>
        <v>10</v>
      </c>
      <c r="M29" s="10">
        <f t="shared" si="15"/>
        <v>0</v>
      </c>
      <c r="N29" s="10">
        <f t="shared" si="16"/>
        <v>0</v>
      </c>
      <c r="O29" s="10">
        <f t="shared" si="17"/>
        <v>23</v>
      </c>
      <c r="P29" s="10">
        <f t="shared" si="18"/>
        <v>4.1486518457531929E-3</v>
      </c>
      <c r="Q29" s="10">
        <f t="shared" si="19"/>
        <v>1.7999336123466492E-2</v>
      </c>
      <c r="R29" s="10">
        <f t="shared" si="20"/>
        <v>29</v>
      </c>
      <c r="S29" s="10">
        <f t="shared" si="21"/>
        <v>8.2598067820072174E-4</v>
      </c>
      <c r="T29" s="10">
        <f t="shared" si="22"/>
        <v>4.4916987419128418E-2</v>
      </c>
      <c r="U29" s="10">
        <f t="shared" si="23"/>
        <v>31</v>
      </c>
      <c r="V29" s="10">
        <f t="shared" si="0"/>
        <v>3.2674539834260941E-2</v>
      </c>
      <c r="W29" s="10">
        <f t="shared" si="1"/>
        <v>0.11994610726833344</v>
      </c>
      <c r="X29" s="10">
        <f t="shared" si="2"/>
        <v>18</v>
      </c>
      <c r="Y29" s="10">
        <f t="shared" si="3"/>
        <v>0.10418283939361572</v>
      </c>
      <c r="Z29" s="10">
        <f t="shared" si="4"/>
        <v>0.11994610726833344</v>
      </c>
      <c r="AA29" s="10">
        <f t="shared" si="5"/>
        <v>4</v>
      </c>
      <c r="AB29" s="10">
        <f t="shared" si="6"/>
        <v>3.2674539834260941E-2</v>
      </c>
      <c r="AC29" s="10">
        <f t="shared" si="7"/>
        <v>8.8329613208770752E-2</v>
      </c>
      <c r="AD29" s="10">
        <f t="shared" si="8"/>
        <v>14</v>
      </c>
      <c r="AE29" t="s">
        <v>34</v>
      </c>
      <c r="AF29" s="10">
        <v>0</v>
      </c>
      <c r="AG29" s="10">
        <v>0</v>
      </c>
      <c r="AH29" s="10">
        <v>0</v>
      </c>
      <c r="AI29" s="10">
        <v>0</v>
      </c>
      <c r="AJ29" s="10">
        <v>0</v>
      </c>
      <c r="AK29" s="10">
        <v>0</v>
      </c>
      <c r="AL29" s="10">
        <v>0</v>
      </c>
      <c r="AM29" s="10">
        <v>0</v>
      </c>
      <c r="AN29" s="10">
        <v>0</v>
      </c>
      <c r="AO29" s="10">
        <v>0</v>
      </c>
      <c r="AP29" s="10">
        <v>0</v>
      </c>
      <c r="AQ29" s="10">
        <v>0</v>
      </c>
      <c r="AR29" s="10">
        <v>0</v>
      </c>
      <c r="AS29" s="10">
        <v>0</v>
      </c>
      <c r="AT29" s="10">
        <v>0</v>
      </c>
      <c r="AU29" s="10">
        <v>0</v>
      </c>
      <c r="AV29" s="10">
        <v>0</v>
      </c>
      <c r="AW29" s="10">
        <v>0</v>
      </c>
      <c r="AX29" s="10">
        <v>0</v>
      </c>
      <c r="AY29" s="10">
        <v>0</v>
      </c>
      <c r="AZ29" s="10">
        <v>0</v>
      </c>
      <c r="BA29" s="10">
        <v>0</v>
      </c>
      <c r="BB29" s="10">
        <v>0</v>
      </c>
      <c r="BC29" s="10">
        <v>0</v>
      </c>
      <c r="BD29" s="10">
        <v>0</v>
      </c>
      <c r="BE29" s="10">
        <v>0</v>
      </c>
      <c r="BF29" s="10">
        <v>0</v>
      </c>
      <c r="BG29" s="10">
        <v>0</v>
      </c>
      <c r="BH29" s="10">
        <v>0</v>
      </c>
      <c r="BI29" s="10">
        <v>0</v>
      </c>
      <c r="BJ29" s="10">
        <v>0</v>
      </c>
      <c r="BK29" s="10">
        <v>0</v>
      </c>
      <c r="BL29" s="10">
        <v>0</v>
      </c>
      <c r="BM29" s="10">
        <v>6.6329725086688995E-3</v>
      </c>
      <c r="BN29" s="10">
        <v>1.2575033120810986E-2</v>
      </c>
      <c r="BO29" s="10">
        <v>1.7965013161301613E-2</v>
      </c>
      <c r="BP29" s="10">
        <v>4.8838336952030659E-3</v>
      </c>
      <c r="BQ29" s="10">
        <v>7.3553752154111862E-3</v>
      </c>
      <c r="BR29" s="10">
        <v>8.2430923357605934E-3</v>
      </c>
      <c r="BS29" s="10">
        <v>9.8484372720122337E-3</v>
      </c>
      <c r="BT29" s="10">
        <v>1.1054635047912598E-2</v>
      </c>
      <c r="BU29" s="10">
        <v>1.3705486431717873E-2</v>
      </c>
      <c r="BV29" s="10">
        <v>1.3915291987359524E-2</v>
      </c>
      <c r="BW29" s="10">
        <v>1.5277712605893612E-2</v>
      </c>
      <c r="BX29" s="10">
        <v>1.693735271692276E-2</v>
      </c>
      <c r="BY29" s="10">
        <v>1.7990287393331528E-2</v>
      </c>
      <c r="BZ29" s="10">
        <v>4.1486518457531929E-3</v>
      </c>
      <c r="CA29" s="10">
        <v>1.2697336263954639E-2</v>
      </c>
      <c r="CB29" s="10">
        <v>1.2889198027551174E-2</v>
      </c>
      <c r="CC29" s="10">
        <v>1.7797278240323067E-2</v>
      </c>
      <c r="CD29" s="10">
        <v>1.798609271645546E-2</v>
      </c>
      <c r="CE29" s="10">
        <v>1.7934165894985199E-2</v>
      </c>
      <c r="CF29" s="10">
        <v>1.7852937802672386E-2</v>
      </c>
      <c r="CG29" s="10">
        <v>1.7985299229621887E-2</v>
      </c>
      <c r="CH29" s="10">
        <v>1.7998572438955307E-2</v>
      </c>
      <c r="CI29" s="10">
        <v>1.7998499795794487E-2</v>
      </c>
      <c r="CJ29" s="10">
        <v>1.799902506172657E-2</v>
      </c>
      <c r="CK29" s="10">
        <v>1.7997140064835548E-2</v>
      </c>
      <c r="CL29" s="10">
        <v>1.7998142167925835E-2</v>
      </c>
      <c r="CM29" s="10">
        <v>1.7999336123466492E-2</v>
      </c>
      <c r="CN29" s="10">
        <v>1.7999298870563507E-2</v>
      </c>
      <c r="CO29" s="10">
        <v>1.7997516319155693E-2</v>
      </c>
      <c r="CP29" s="10">
        <v>6.446183193475008E-3</v>
      </c>
      <c r="CQ29" s="10">
        <v>4.6972911804914474E-3</v>
      </c>
      <c r="CR29" s="10">
        <v>1.1266378685832024E-2</v>
      </c>
      <c r="CS29" s="10">
        <v>1.2521920725703239E-2</v>
      </c>
      <c r="CT29" s="10">
        <v>2.4581769481301308E-2</v>
      </c>
      <c r="CU29" s="10">
        <v>2.4089735001325607E-2</v>
      </c>
      <c r="CV29" s="10">
        <v>2.8086276724934578E-2</v>
      </c>
      <c r="CW29" s="10">
        <v>2.9240364208817482E-2</v>
      </c>
      <c r="CX29" s="10">
        <v>1.1177264153957367E-2</v>
      </c>
      <c r="CY29" s="10">
        <v>2.7942366898059845E-2</v>
      </c>
      <c r="CZ29" s="10">
        <v>1.2539032846689224E-2</v>
      </c>
      <c r="DA29" s="10">
        <v>3.8423046469688416E-2</v>
      </c>
      <c r="DB29" s="10">
        <v>3.8872204720973969E-2</v>
      </c>
      <c r="DC29" s="10">
        <v>3.724316880106926E-2</v>
      </c>
      <c r="DD29" s="10">
        <v>3.4570060670375824E-2</v>
      </c>
      <c r="DE29" s="10">
        <v>1.970549114048481E-3</v>
      </c>
      <c r="DF29" s="10">
        <v>6.9085769355297089E-3</v>
      </c>
      <c r="DG29" s="10">
        <v>1.1616868898272514E-2</v>
      </c>
      <c r="DH29" s="10">
        <v>1.3388337567448616E-2</v>
      </c>
      <c r="DI29" s="10">
        <v>1.577705517411232E-2</v>
      </c>
      <c r="DJ29" s="10">
        <v>1.396437082439661E-2</v>
      </c>
      <c r="DK29" s="10">
        <v>4.4916987419128418E-2</v>
      </c>
      <c r="DL29" s="10">
        <v>3.926689550280571E-2</v>
      </c>
      <c r="DM29" s="10">
        <v>8.2598067820072174E-4</v>
      </c>
      <c r="DN29" s="10">
        <v>1.7864083638414741E-3</v>
      </c>
      <c r="DO29" s="10">
        <v>1.1515389196574688E-3</v>
      </c>
      <c r="DP29" s="10">
        <v>2.9683059547096491E-3</v>
      </c>
      <c r="DQ29" s="10">
        <v>1.587738748639822E-3</v>
      </c>
      <c r="DR29" s="10">
        <v>1.2631503865122795E-2</v>
      </c>
      <c r="DS29" s="10">
        <v>3.6785881966352463E-2</v>
      </c>
      <c r="DT29" s="10">
        <v>1.1264028027653694E-2</v>
      </c>
      <c r="DU29" s="10">
        <v>0.10870061814785004</v>
      </c>
      <c r="DV29" s="10">
        <v>0.10418283939361572</v>
      </c>
      <c r="DW29" s="10">
        <v>0.11572574079036713</v>
      </c>
      <c r="DX29" s="10">
        <v>0.11994610726833344</v>
      </c>
      <c r="DY29" s="10">
        <v>3.2674539834260941E-2</v>
      </c>
      <c r="DZ29" s="10">
        <v>7.3152631521224976E-2</v>
      </c>
      <c r="EA29" s="10">
        <v>8.3933800458908081E-2</v>
      </c>
      <c r="EB29" s="10">
        <v>6.9232277572154999E-2</v>
      </c>
      <c r="EC29" s="10">
        <v>8.4750063717365265E-2</v>
      </c>
      <c r="ED29" s="10">
        <v>7.2457745671272278E-2</v>
      </c>
      <c r="EE29" s="10">
        <v>7.3326513171195984E-2</v>
      </c>
      <c r="EF29" s="10">
        <v>8.0451488494873047E-2</v>
      </c>
      <c r="EG29" s="10">
        <v>7.7109582722187042E-2</v>
      </c>
      <c r="EH29" s="10">
        <v>8.2717135548591614E-2</v>
      </c>
      <c r="EI29" s="10">
        <v>7.3681138455867767E-2</v>
      </c>
      <c r="EJ29" s="10">
        <v>8.8329613208770752E-2</v>
      </c>
      <c r="EK29" s="10">
        <v>8.1788808107376099E-2</v>
      </c>
      <c r="EL29" s="10">
        <v>7.897302508354187E-2</v>
      </c>
      <c r="EM29" s="10">
        <v>7.4872584082186222E-4</v>
      </c>
      <c r="EN29" s="10">
        <v>5.9349439106881618E-4</v>
      </c>
      <c r="EO29" s="10">
        <v>9.7829464357346296E-4</v>
      </c>
      <c r="EP29" s="10">
        <v>1.0200077667832375E-3</v>
      </c>
      <c r="EQ29" s="10">
        <v>1.3095921603962779E-3</v>
      </c>
      <c r="ER29" s="10">
        <v>7.4648857116699219E-4</v>
      </c>
      <c r="ES29" s="10">
        <v>2.6536262594163418E-3</v>
      </c>
      <c r="ET29" s="10">
        <v>6.9982986897230148E-3</v>
      </c>
      <c r="EU29" s="10">
        <v>6.099968682974577E-3</v>
      </c>
      <c r="EV29" s="10">
        <v>5.6859105825424194E-3</v>
      </c>
      <c r="EW29" s="10">
        <v>8.0447818618267775E-4</v>
      </c>
      <c r="EX29" s="10">
        <v>9.1974698007106781E-3</v>
      </c>
      <c r="EY29" s="10">
        <v>3.3003263175487518E-2</v>
      </c>
      <c r="EZ29" s="10">
        <v>3.4134365618228912E-2</v>
      </c>
      <c r="FA29" s="10">
        <v>0.11074198782444</v>
      </c>
      <c r="FB29" s="10">
        <v>2.5037196464836597E-3</v>
      </c>
      <c r="FC29" s="10">
        <v>4.0346302092075348E-2</v>
      </c>
      <c r="FD29" s="10">
        <v>7.0181518793106079E-2</v>
      </c>
      <c r="FE29" s="10">
        <v>7.2000026702880859E-2</v>
      </c>
      <c r="FF29" s="10">
        <v>8.3320841193199158E-2</v>
      </c>
      <c r="FG29" s="10">
        <v>1.0002856142818928E-2</v>
      </c>
      <c r="FH29" s="10">
        <v>4.2302656918764114E-2</v>
      </c>
      <c r="FI29" s="10">
        <v>6.8980388343334198E-2</v>
      </c>
      <c r="FJ29" s="10">
        <v>9.9002495408058167E-2</v>
      </c>
      <c r="FK29" s="10">
        <v>9.293811023235321E-2</v>
      </c>
    </row>
    <row r="30" spans="3:167" x14ac:dyDescent="0.2">
      <c r="C30" s="10">
        <f t="shared" si="9"/>
        <v>0</v>
      </c>
      <c r="D30" s="10">
        <f t="shared" si="10"/>
        <v>34.414999999999999</v>
      </c>
      <c r="E30" s="10" cm="1">
        <f t="array" ref="E30">gavg(AF30,EL30)</f>
        <v>13.434076490115997</v>
      </c>
      <c r="F30" s="10" cm="1">
        <f t="array" ref="F30">lnstdev(AF30,EL30)</f>
        <v>0.61889594278249938</v>
      </c>
      <c r="G30" s="10">
        <f t="shared" si="11"/>
        <v>111</v>
      </c>
      <c r="H30" s="10">
        <f t="shared" si="12"/>
        <v>0</v>
      </c>
      <c r="I30" s="10">
        <f t="shared" si="13"/>
        <v>0</v>
      </c>
      <c r="J30" s="10"/>
      <c r="K30" s="10"/>
      <c r="L30" s="10">
        <f t="shared" si="14"/>
        <v>10</v>
      </c>
      <c r="M30" s="10">
        <f t="shared" si="15"/>
        <v>0</v>
      </c>
      <c r="N30" s="10">
        <f t="shared" si="16"/>
        <v>0</v>
      </c>
      <c r="O30" s="10">
        <f t="shared" si="17"/>
        <v>23</v>
      </c>
      <c r="P30" s="10">
        <f t="shared" si="18"/>
        <v>4.3019999999999996</v>
      </c>
      <c r="Q30" s="10">
        <f t="shared" si="19"/>
        <v>34.414999999999999</v>
      </c>
      <c r="R30" s="10">
        <f t="shared" si="20"/>
        <v>29</v>
      </c>
      <c r="S30" s="10">
        <f t="shared" si="21"/>
        <v>4.9029999999999996</v>
      </c>
      <c r="T30" s="10">
        <f t="shared" si="22"/>
        <v>26.968</v>
      </c>
      <c r="U30" s="10">
        <f t="shared" si="23"/>
        <v>31</v>
      </c>
      <c r="V30" s="10">
        <f t="shared" si="0"/>
        <v>4.9029999999999996</v>
      </c>
      <c r="W30" s="10">
        <f t="shared" si="1"/>
        <v>26.968</v>
      </c>
      <c r="X30" s="10">
        <f t="shared" si="2"/>
        <v>18</v>
      </c>
      <c r="Y30" s="10">
        <f t="shared" si="3"/>
        <v>7.3550000000000004</v>
      </c>
      <c r="Z30" s="10">
        <f t="shared" si="4"/>
        <v>22.065000000000001</v>
      </c>
      <c r="AA30" s="10">
        <f t="shared" si="5"/>
        <v>4</v>
      </c>
      <c r="AB30" s="10">
        <f t="shared" si="6"/>
        <v>4.9029999999999996</v>
      </c>
      <c r="AC30" s="10">
        <f t="shared" si="7"/>
        <v>26.968</v>
      </c>
      <c r="AD30" s="10">
        <f t="shared" si="8"/>
        <v>14</v>
      </c>
      <c r="AE30" t="s">
        <v>35</v>
      </c>
      <c r="AF30" s="10">
        <v>0</v>
      </c>
      <c r="AG30" s="10">
        <v>0</v>
      </c>
      <c r="AH30" s="10">
        <v>0</v>
      </c>
      <c r="AI30" s="10">
        <v>0</v>
      </c>
      <c r="AJ30" s="10">
        <v>0</v>
      </c>
      <c r="AK30" s="10">
        <v>0</v>
      </c>
      <c r="AL30" s="10">
        <v>0</v>
      </c>
      <c r="AM30" s="10">
        <v>0</v>
      </c>
      <c r="AN30" s="10">
        <v>0</v>
      </c>
      <c r="AO30" s="10">
        <v>0</v>
      </c>
      <c r="AP30" s="10">
        <v>0</v>
      </c>
      <c r="AQ30" s="10">
        <v>0</v>
      </c>
      <c r="AR30" s="10">
        <v>0</v>
      </c>
      <c r="AS30" s="10">
        <v>0</v>
      </c>
      <c r="AT30" s="10">
        <v>0</v>
      </c>
      <c r="AU30" s="10">
        <v>0</v>
      </c>
      <c r="AV30" s="10">
        <v>0</v>
      </c>
      <c r="AW30" s="10">
        <v>0</v>
      </c>
      <c r="AX30" s="10">
        <v>0</v>
      </c>
      <c r="AY30" s="10">
        <v>0</v>
      </c>
      <c r="AZ30" s="10">
        <v>0</v>
      </c>
      <c r="BA30" s="10">
        <v>0</v>
      </c>
      <c r="BB30" s="10">
        <v>0</v>
      </c>
      <c r="BC30" s="10">
        <v>0</v>
      </c>
      <c r="BD30" s="10">
        <v>0</v>
      </c>
      <c r="BE30" s="10">
        <v>0</v>
      </c>
      <c r="BF30" s="10">
        <v>0</v>
      </c>
      <c r="BG30" s="10">
        <v>0</v>
      </c>
      <c r="BH30" s="10">
        <v>0</v>
      </c>
      <c r="BI30" s="10">
        <v>0</v>
      </c>
      <c r="BJ30" s="10">
        <v>0</v>
      </c>
      <c r="BK30" s="10">
        <v>0</v>
      </c>
      <c r="BL30" s="10">
        <v>0</v>
      </c>
      <c r="BM30" s="10">
        <v>13.622999999999999</v>
      </c>
      <c r="BN30" s="10">
        <v>32.981000000000002</v>
      </c>
      <c r="BO30" s="10">
        <v>10.038</v>
      </c>
      <c r="BP30" s="10">
        <v>30.113</v>
      </c>
      <c r="BQ30" s="10">
        <v>28.678999999999998</v>
      </c>
      <c r="BR30" s="10">
        <v>32.981000000000002</v>
      </c>
      <c r="BS30" s="10">
        <v>30.113</v>
      </c>
      <c r="BT30" s="10">
        <v>32.981000000000002</v>
      </c>
      <c r="BU30" s="10">
        <v>32.981000000000002</v>
      </c>
      <c r="BV30" s="10">
        <v>31.547000000000001</v>
      </c>
      <c r="BW30" s="10">
        <v>7.17</v>
      </c>
      <c r="BX30" s="10">
        <v>4.3019999999999996</v>
      </c>
      <c r="BY30" s="10">
        <v>29.396000000000001</v>
      </c>
      <c r="BZ30" s="10">
        <v>17.925000000000001</v>
      </c>
      <c r="CA30" s="10">
        <v>5.0190000000000001</v>
      </c>
      <c r="CB30" s="10">
        <v>32.264000000000003</v>
      </c>
      <c r="CC30" s="10">
        <v>12.189</v>
      </c>
      <c r="CD30" s="10">
        <v>27.962</v>
      </c>
      <c r="CE30" s="10">
        <v>5.0190000000000001</v>
      </c>
      <c r="CF30" s="10">
        <v>10.755000000000001</v>
      </c>
      <c r="CG30" s="10">
        <v>25.811</v>
      </c>
      <c r="CH30" s="10">
        <v>11.472</v>
      </c>
      <c r="CI30" s="10">
        <v>30.113</v>
      </c>
      <c r="CJ30" s="10">
        <v>24.376999999999999</v>
      </c>
      <c r="CK30" s="10">
        <v>15.773999999999999</v>
      </c>
      <c r="CL30" s="10">
        <v>32.264000000000003</v>
      </c>
      <c r="CM30" s="10">
        <v>8.6039999999999992</v>
      </c>
      <c r="CN30" s="10">
        <v>18.641999999999999</v>
      </c>
      <c r="CO30" s="10">
        <v>34.414999999999999</v>
      </c>
      <c r="CP30" s="10">
        <v>15.935</v>
      </c>
      <c r="CQ30" s="10">
        <v>7.3550000000000004</v>
      </c>
      <c r="CR30" s="10">
        <v>17.161000000000001</v>
      </c>
      <c r="CS30" s="10">
        <v>7.3550000000000004</v>
      </c>
      <c r="CT30" s="10">
        <v>7.3550000000000004</v>
      </c>
      <c r="CU30" s="10">
        <v>22.065000000000001</v>
      </c>
      <c r="CV30" s="10">
        <v>7.3550000000000004</v>
      </c>
      <c r="CW30" s="10">
        <v>6.1289999999999996</v>
      </c>
      <c r="CX30" s="10">
        <v>17.161000000000001</v>
      </c>
      <c r="CY30" s="10">
        <v>11.032</v>
      </c>
      <c r="CZ30" s="10">
        <v>13.484</v>
      </c>
      <c r="DA30" s="10">
        <v>11.032</v>
      </c>
      <c r="DB30" s="10">
        <v>8.5809999999999995</v>
      </c>
      <c r="DC30" s="10">
        <v>11.032</v>
      </c>
      <c r="DD30" s="10">
        <v>6.1289999999999996</v>
      </c>
      <c r="DE30" s="10">
        <v>6.1289999999999996</v>
      </c>
      <c r="DF30" s="10">
        <v>9.8059999999999992</v>
      </c>
      <c r="DG30" s="10">
        <v>14.71</v>
      </c>
      <c r="DH30" s="10">
        <v>4.9029999999999996</v>
      </c>
      <c r="DI30" s="10">
        <v>26.968</v>
      </c>
      <c r="DJ30" s="10">
        <v>15.935</v>
      </c>
      <c r="DK30" s="10">
        <v>13.484</v>
      </c>
      <c r="DL30" s="10">
        <v>8.5809999999999995</v>
      </c>
      <c r="DM30" s="10">
        <v>7.3550000000000004</v>
      </c>
      <c r="DN30" s="10">
        <v>6.1289999999999996</v>
      </c>
      <c r="DO30" s="10">
        <v>24.515999999999998</v>
      </c>
      <c r="DP30" s="10">
        <v>12.257999999999999</v>
      </c>
      <c r="DQ30" s="10">
        <v>14.71</v>
      </c>
      <c r="DR30" s="10">
        <v>4.9029999999999996</v>
      </c>
      <c r="DS30" s="10">
        <v>11.032</v>
      </c>
      <c r="DT30" s="10">
        <v>15.935</v>
      </c>
      <c r="DU30" s="10">
        <v>22.065000000000001</v>
      </c>
      <c r="DV30" s="10">
        <v>7.3550000000000004</v>
      </c>
      <c r="DW30" s="10">
        <v>15.935</v>
      </c>
      <c r="DX30" s="10">
        <v>13.484</v>
      </c>
      <c r="DY30" s="10">
        <v>26.968</v>
      </c>
      <c r="DZ30" s="10">
        <v>6.1289999999999996</v>
      </c>
      <c r="EA30" s="10">
        <v>4.9029999999999996</v>
      </c>
      <c r="EB30" s="10">
        <v>24.515999999999998</v>
      </c>
      <c r="EC30" s="10">
        <v>4.9029999999999996</v>
      </c>
      <c r="ED30" s="10">
        <v>4.9029999999999996</v>
      </c>
      <c r="EE30" s="10">
        <v>12.257999999999999</v>
      </c>
      <c r="EF30" s="10">
        <v>13.484</v>
      </c>
      <c r="EG30" s="10">
        <v>24.515999999999998</v>
      </c>
      <c r="EH30" s="10">
        <v>11.032</v>
      </c>
      <c r="EI30" s="10">
        <v>26.968</v>
      </c>
      <c r="EJ30" s="10">
        <v>11.032</v>
      </c>
      <c r="EK30" s="10">
        <v>15.935</v>
      </c>
      <c r="EL30" s="10">
        <v>11.032</v>
      </c>
      <c r="EM30" s="10">
        <v>7.3550000000000004</v>
      </c>
      <c r="EN30" s="10">
        <v>6.1289999999999996</v>
      </c>
      <c r="EO30" s="10">
        <v>4.9029999999999996</v>
      </c>
      <c r="EP30" s="10">
        <v>13.484</v>
      </c>
      <c r="EQ30" s="10">
        <v>4.9029999999999996</v>
      </c>
      <c r="ER30" s="10">
        <v>6.1289999999999996</v>
      </c>
      <c r="ES30" s="10">
        <v>19.613</v>
      </c>
      <c r="ET30" s="10">
        <v>19.613</v>
      </c>
      <c r="EU30" s="10">
        <v>17.161000000000001</v>
      </c>
      <c r="EV30" s="10">
        <v>19.613</v>
      </c>
      <c r="EW30" s="10">
        <v>7.3550000000000004</v>
      </c>
      <c r="EX30" s="10">
        <v>12.257999999999999</v>
      </c>
      <c r="EY30" s="10">
        <v>19.613</v>
      </c>
      <c r="EZ30" s="10">
        <v>19.613</v>
      </c>
      <c r="FA30" s="10">
        <v>19.613</v>
      </c>
      <c r="FB30" s="10">
        <v>26.968</v>
      </c>
      <c r="FC30" s="10">
        <v>19.613</v>
      </c>
      <c r="FD30" s="10">
        <v>15.935</v>
      </c>
      <c r="FE30" s="10">
        <v>17.161000000000001</v>
      </c>
      <c r="FF30" s="10">
        <v>19.613</v>
      </c>
      <c r="FG30" s="10">
        <v>11.032</v>
      </c>
      <c r="FH30" s="10">
        <v>15.935</v>
      </c>
      <c r="FI30" s="10">
        <v>24.515999999999998</v>
      </c>
      <c r="FJ30" s="10">
        <v>19.613</v>
      </c>
      <c r="FK30" s="10">
        <v>19.613</v>
      </c>
    </row>
    <row r="31" spans="3:167" x14ac:dyDescent="0.2">
      <c r="C31" s="10">
        <f t="shared" si="9"/>
        <v>0</v>
      </c>
      <c r="D31" s="10">
        <f t="shared" si="10"/>
        <v>6.9985739886760712E-2</v>
      </c>
      <c r="E31" s="10" cm="1">
        <f t="array" ref="E31">gavg(AF31,EL31)</f>
        <v>1.0519604399857736E-2</v>
      </c>
      <c r="F31" s="10" cm="1">
        <f t="array" ref="F31">lnstdev(AF31,EL31)</f>
        <v>1.0486899869190363</v>
      </c>
      <c r="G31" s="10">
        <f t="shared" si="11"/>
        <v>111</v>
      </c>
      <c r="H31" s="10">
        <f t="shared" si="12"/>
        <v>0</v>
      </c>
      <c r="I31" s="10">
        <f t="shared" si="13"/>
        <v>0</v>
      </c>
      <c r="J31" s="10"/>
      <c r="K31" s="10"/>
      <c r="L31" s="10">
        <f t="shared" si="14"/>
        <v>10</v>
      </c>
      <c r="M31" s="10">
        <f t="shared" si="15"/>
        <v>8.8769113644957542E-3</v>
      </c>
      <c r="N31" s="10">
        <f t="shared" si="16"/>
        <v>1.6666026785969734E-2</v>
      </c>
      <c r="O31" s="10">
        <f t="shared" si="17"/>
        <v>23</v>
      </c>
      <c r="P31" s="10">
        <f t="shared" si="18"/>
        <v>2.2932582069188356E-3</v>
      </c>
      <c r="Q31" s="10">
        <f t="shared" si="19"/>
        <v>9.7181303426623344E-3</v>
      </c>
      <c r="R31" s="10">
        <f t="shared" si="20"/>
        <v>29</v>
      </c>
      <c r="S31" s="10">
        <f t="shared" si="21"/>
        <v>3.4460413735359907E-4</v>
      </c>
      <c r="T31" s="10">
        <f t="shared" si="22"/>
        <v>2.665247954428196E-2</v>
      </c>
      <c r="U31" s="10">
        <f t="shared" si="23"/>
        <v>31</v>
      </c>
      <c r="V31" s="10">
        <f t="shared" si="0"/>
        <v>2.3672575131058693E-2</v>
      </c>
      <c r="W31" s="10">
        <f t="shared" si="1"/>
        <v>6.9985739886760712E-2</v>
      </c>
      <c r="X31" s="10">
        <f t="shared" si="2"/>
        <v>18</v>
      </c>
      <c r="Y31" s="10">
        <f t="shared" si="3"/>
        <v>5.5685479193925858E-2</v>
      </c>
      <c r="Z31" s="10">
        <f t="shared" si="4"/>
        <v>6.9985739886760712E-2</v>
      </c>
      <c r="AA31" s="10">
        <f t="shared" si="5"/>
        <v>4</v>
      </c>
      <c r="AB31" s="10">
        <f t="shared" si="6"/>
        <v>2.3672575131058693E-2</v>
      </c>
      <c r="AC31" s="10">
        <f t="shared" si="7"/>
        <v>5.8012675493955612E-2</v>
      </c>
      <c r="AD31" s="10">
        <f t="shared" si="8"/>
        <v>14</v>
      </c>
      <c r="AE31" t="s">
        <v>36</v>
      </c>
      <c r="AF31" s="10">
        <v>0</v>
      </c>
      <c r="AG31" s="10">
        <v>0</v>
      </c>
      <c r="AH31" s="10">
        <v>0</v>
      </c>
      <c r="AI31" s="10">
        <v>0</v>
      </c>
      <c r="AJ31" s="10">
        <v>0</v>
      </c>
      <c r="AK31" s="10">
        <v>0</v>
      </c>
      <c r="AL31" s="10">
        <v>0</v>
      </c>
      <c r="AM31" s="10">
        <v>0</v>
      </c>
      <c r="AN31" s="10">
        <v>0</v>
      </c>
      <c r="AO31" s="10">
        <v>0</v>
      </c>
      <c r="AP31" s="10">
        <v>1.0999983176589012E-2</v>
      </c>
      <c r="AQ31" s="10">
        <v>9.0660108253359795E-3</v>
      </c>
      <c r="AR31" s="10">
        <v>1.5047050081193447E-2</v>
      </c>
      <c r="AS31" s="10">
        <v>1.634552888572216E-2</v>
      </c>
      <c r="AT31" s="10">
        <v>1.3228974305093288E-2</v>
      </c>
      <c r="AU31" s="10">
        <v>1.4209519140422344E-2</v>
      </c>
      <c r="AV31" s="10">
        <v>1.3338197022676468E-2</v>
      </c>
      <c r="AW31" s="10">
        <v>1.4866003766655922E-2</v>
      </c>
      <c r="AX31" s="10">
        <v>1.4119941741228104E-2</v>
      </c>
      <c r="AY31" s="10">
        <v>1.6666026785969734E-2</v>
      </c>
      <c r="AZ31" s="10">
        <v>1.2259122915565968E-2</v>
      </c>
      <c r="BA31" s="10">
        <v>1.2095038779079914E-2</v>
      </c>
      <c r="BB31" s="10">
        <v>1.1965909972786903E-2</v>
      </c>
      <c r="BC31" s="10">
        <v>1.2803655117750168E-2</v>
      </c>
      <c r="BD31" s="10">
        <v>1.3294626027345657E-2</v>
      </c>
      <c r="BE31" s="10">
        <v>1.4286447316408157E-2</v>
      </c>
      <c r="BF31" s="10">
        <v>1.0258255526423454E-2</v>
      </c>
      <c r="BG31" s="10">
        <v>1.1649939231574535E-2</v>
      </c>
      <c r="BH31" s="10">
        <v>1.2770999222993851E-2</v>
      </c>
      <c r="BI31" s="10">
        <v>1.3180110603570938E-2</v>
      </c>
      <c r="BJ31" s="10">
        <v>1.4855142682790756E-2</v>
      </c>
      <c r="BK31" s="10">
        <v>8.8769113644957542E-3</v>
      </c>
      <c r="BL31" s="10">
        <v>1.3431097380816936E-2</v>
      </c>
      <c r="BM31" s="10">
        <v>4.1340594179928303E-3</v>
      </c>
      <c r="BN31" s="10">
        <v>8.275981992483139E-3</v>
      </c>
      <c r="BO31" s="10">
        <v>8.1429062411189079E-3</v>
      </c>
      <c r="BP31" s="10">
        <v>2.4263146333396435E-3</v>
      </c>
      <c r="BQ31" s="10">
        <v>3.8869800046086311E-3</v>
      </c>
      <c r="BR31" s="10">
        <v>4.8254416324198246E-3</v>
      </c>
      <c r="BS31" s="10">
        <v>5.3769513033330441E-3</v>
      </c>
      <c r="BT31" s="10">
        <v>6.5102339722216129E-3</v>
      </c>
      <c r="BU31" s="10">
        <v>7.1766762994229794E-3</v>
      </c>
      <c r="BV31" s="10">
        <v>8.23239516466856E-3</v>
      </c>
      <c r="BW31" s="10">
        <v>7.9324478283524513E-3</v>
      </c>
      <c r="BX31" s="10">
        <v>8.3805853500962257E-3</v>
      </c>
      <c r="BY31" s="10">
        <v>9.7181303426623344E-3</v>
      </c>
      <c r="BZ31" s="10">
        <v>2.2932582069188356E-3</v>
      </c>
      <c r="CA31" s="10">
        <v>7.7314823865890503E-3</v>
      </c>
      <c r="CB31" s="10">
        <v>6.5354909747838974E-3</v>
      </c>
      <c r="CC31" s="10">
        <v>8.8856294751167297E-3</v>
      </c>
      <c r="CD31" s="10">
        <v>9.578104130923748E-3</v>
      </c>
      <c r="CE31" s="10">
        <v>8.402850478887558E-3</v>
      </c>
      <c r="CF31" s="10">
        <v>8.2306414842605591E-3</v>
      </c>
      <c r="CG31" s="10">
        <v>8.92685167491436E-3</v>
      </c>
      <c r="CH31" s="10">
        <v>7.88847915828228E-3</v>
      </c>
      <c r="CI31" s="10">
        <v>8.4477346390485764E-3</v>
      </c>
      <c r="CJ31" s="10">
        <v>7.5395060703158379E-3</v>
      </c>
      <c r="CK31" s="10">
        <v>7.6306397095322609E-3</v>
      </c>
      <c r="CL31" s="10">
        <v>9.123513475060463E-3</v>
      </c>
      <c r="CM31" s="10">
        <v>9.2299487441778183E-3</v>
      </c>
      <c r="CN31" s="10">
        <v>9.4504300504922867E-3</v>
      </c>
      <c r="CO31" s="10">
        <v>7.8611448407173157E-3</v>
      </c>
      <c r="CP31" s="10">
        <v>2.6800506748259068E-3</v>
      </c>
      <c r="CQ31" s="10">
        <v>2.6491112075746059E-3</v>
      </c>
      <c r="CR31" s="10">
        <v>5.5163358338177204E-3</v>
      </c>
      <c r="CS31" s="10">
        <v>8.3907628431916237E-3</v>
      </c>
      <c r="CT31" s="10">
        <v>1.1189302429556847E-2</v>
      </c>
      <c r="CU31" s="10">
        <v>1.1133467778563499E-2</v>
      </c>
      <c r="CV31" s="10">
        <v>1.5119948424398899E-2</v>
      </c>
      <c r="CW31" s="10">
        <v>1.7071405425667763E-2</v>
      </c>
      <c r="CX31" s="10">
        <v>5.1534841768443584E-3</v>
      </c>
      <c r="CY31" s="10">
        <v>1.3658665120601654E-2</v>
      </c>
      <c r="CZ31" s="10">
        <v>4.9462746828794479E-3</v>
      </c>
      <c r="DA31" s="10">
        <v>1.9737647846341133E-2</v>
      </c>
      <c r="DB31" s="10">
        <v>2.1521063521504402E-2</v>
      </c>
      <c r="DC31" s="10">
        <v>2.2937316447496414E-2</v>
      </c>
      <c r="DD31" s="10">
        <v>1.8855677917599678E-2</v>
      </c>
      <c r="DE31" s="10">
        <v>1.1002480750903487E-3</v>
      </c>
      <c r="DF31" s="10">
        <v>3.1162691302597523E-3</v>
      </c>
      <c r="DG31" s="10">
        <v>5.5175977759063244E-3</v>
      </c>
      <c r="DH31" s="10">
        <v>5.250618327409029E-3</v>
      </c>
      <c r="DI31" s="10">
        <v>5.5574332363903522E-3</v>
      </c>
      <c r="DJ31" s="10">
        <v>6.2468084506690502E-3</v>
      </c>
      <c r="DK31" s="10">
        <v>2.665247954428196E-2</v>
      </c>
      <c r="DL31" s="10">
        <v>2.449335902929306E-2</v>
      </c>
      <c r="DM31" s="10">
        <v>3.4460413735359907E-4</v>
      </c>
      <c r="DN31" s="10">
        <v>9.5298822270706296E-4</v>
      </c>
      <c r="DO31" s="10">
        <v>5.3705816389992833E-4</v>
      </c>
      <c r="DP31" s="10">
        <v>1.6388508956879377E-3</v>
      </c>
      <c r="DQ31" s="10">
        <v>5.540365818887949E-4</v>
      </c>
      <c r="DR31" s="10">
        <v>5.9938095510005951E-3</v>
      </c>
      <c r="DS31" s="10">
        <v>1.7663728445768356E-2</v>
      </c>
      <c r="DT31" s="10">
        <v>4.5595890842378139E-3</v>
      </c>
      <c r="DU31" s="10">
        <v>5.5685479193925858E-2</v>
      </c>
      <c r="DV31" s="10">
        <v>6.2056299299001694E-2</v>
      </c>
      <c r="DW31" s="10">
        <v>6.9985739886760712E-2</v>
      </c>
      <c r="DX31" s="10">
        <v>6.9376386702060699E-2</v>
      </c>
      <c r="DY31" s="10">
        <v>2.3672575131058693E-2</v>
      </c>
      <c r="DZ31" s="10">
        <v>4.8087030649185181E-2</v>
      </c>
      <c r="EA31" s="10">
        <v>4.9134600907564163E-2</v>
      </c>
      <c r="EB31" s="10">
        <v>4.2306602001190186E-2</v>
      </c>
      <c r="EC31" s="10">
        <v>4.7225680202245712E-2</v>
      </c>
      <c r="ED31" s="10">
        <v>4.0591638535261154E-2</v>
      </c>
      <c r="EE31" s="10">
        <v>5.8012675493955612E-2</v>
      </c>
      <c r="EF31" s="10">
        <v>4.4429611414670944E-2</v>
      </c>
      <c r="EG31" s="10">
        <v>5.1159873604774475E-2</v>
      </c>
      <c r="EH31" s="10">
        <v>4.776141420006752E-2</v>
      </c>
      <c r="EI31" s="10">
        <v>4.1609451174736023E-2</v>
      </c>
      <c r="EJ31" s="10">
        <v>4.6884872019290924E-2</v>
      </c>
      <c r="EK31" s="10">
        <v>4.7721512615680695E-2</v>
      </c>
      <c r="EL31" s="10">
        <v>3.8817726075649261E-2</v>
      </c>
      <c r="EM31" s="10">
        <v>2.6556648663245142E-4</v>
      </c>
      <c r="EN31" s="10">
        <v>2.4681352078914642E-4</v>
      </c>
      <c r="EO31" s="10">
        <v>4.7802465269342065E-4</v>
      </c>
      <c r="EP31" s="10">
        <v>4.5352688175626099E-4</v>
      </c>
      <c r="EQ31" s="10">
        <v>5.1615794654935598E-4</v>
      </c>
      <c r="ER31" s="10">
        <v>3.7365721073001623E-4</v>
      </c>
      <c r="ES31" s="10">
        <v>1.2454043608158827E-3</v>
      </c>
      <c r="ET31" s="10">
        <v>3.1120262574404478E-3</v>
      </c>
      <c r="EU31" s="10">
        <v>3.3011783380061388E-3</v>
      </c>
      <c r="EV31" s="10">
        <v>3.373374929651618E-3</v>
      </c>
      <c r="EW31" s="10">
        <v>4.3174589518457651E-4</v>
      </c>
      <c r="EX31" s="10">
        <v>4.2390311136841774E-3</v>
      </c>
      <c r="EY31" s="10">
        <v>1.9899003207683563E-2</v>
      </c>
      <c r="EZ31" s="10">
        <v>2.6193426921963692E-2</v>
      </c>
      <c r="FA31" s="10">
        <v>6.2756665050983429E-2</v>
      </c>
      <c r="FB31" s="10">
        <v>1.0302542941644788E-3</v>
      </c>
      <c r="FC31" s="10">
        <v>2.8973896056413651E-2</v>
      </c>
      <c r="FD31" s="10">
        <v>4.6502809971570969E-2</v>
      </c>
      <c r="FE31" s="10">
        <v>5.4445937275886536E-2</v>
      </c>
      <c r="FF31" s="10">
        <v>6.7466549575328827E-2</v>
      </c>
      <c r="FG31" s="10">
        <v>4.7392132692039013E-3</v>
      </c>
      <c r="FH31" s="10">
        <v>3.2163113355636597E-2</v>
      </c>
      <c r="FI31" s="10">
        <v>5.6742995977401733E-2</v>
      </c>
      <c r="FJ31" s="10">
        <v>6.6366821527481079E-2</v>
      </c>
      <c r="FK31" s="10">
        <v>6.1693534255027771E-2</v>
      </c>
    </row>
    <row r="32" spans="3:167" x14ac:dyDescent="0.2">
      <c r="C32" s="10">
        <f t="shared" si="9"/>
        <v>0</v>
      </c>
      <c r="D32" s="10">
        <f t="shared" si="10"/>
        <v>33.698</v>
      </c>
      <c r="E32" s="10" cm="1">
        <f t="array" ref="E32">gavg(AF32,EL32)</f>
        <v>10.568370369389728</v>
      </c>
      <c r="F32" s="10" cm="1">
        <f t="array" ref="F32">lnstdev(AF32,EL32)</f>
        <v>0.79663250573945277</v>
      </c>
      <c r="G32" s="10">
        <f t="shared" si="11"/>
        <v>111</v>
      </c>
      <c r="H32" s="10">
        <f t="shared" si="12"/>
        <v>0</v>
      </c>
      <c r="I32" s="10">
        <f t="shared" si="13"/>
        <v>0</v>
      </c>
      <c r="J32" s="10"/>
      <c r="K32" s="10"/>
      <c r="L32" s="10">
        <f t="shared" si="14"/>
        <v>10</v>
      </c>
      <c r="M32" s="10">
        <f t="shared" si="15"/>
        <v>2.1400001049041748</v>
      </c>
      <c r="N32" s="10">
        <f t="shared" si="16"/>
        <v>7.4899997711181641</v>
      </c>
      <c r="O32" s="10">
        <f t="shared" si="17"/>
        <v>23</v>
      </c>
      <c r="P32" s="10">
        <f t="shared" si="18"/>
        <v>4.3019999999999996</v>
      </c>
      <c r="Q32" s="10">
        <f t="shared" si="19"/>
        <v>33.698</v>
      </c>
      <c r="R32" s="10">
        <f t="shared" si="20"/>
        <v>29</v>
      </c>
      <c r="S32" s="10">
        <f t="shared" si="21"/>
        <v>4.9029999999999996</v>
      </c>
      <c r="T32" s="10">
        <f t="shared" si="22"/>
        <v>26.968</v>
      </c>
      <c r="U32" s="10">
        <f t="shared" si="23"/>
        <v>31</v>
      </c>
      <c r="V32" s="10">
        <f t="shared" si="0"/>
        <v>4.9029999999999996</v>
      </c>
      <c r="W32" s="10">
        <f t="shared" si="1"/>
        <v>26.968</v>
      </c>
      <c r="X32" s="10">
        <f t="shared" si="2"/>
        <v>18</v>
      </c>
      <c r="Y32" s="10">
        <f t="shared" si="3"/>
        <v>4.9029999999999996</v>
      </c>
      <c r="Z32" s="10">
        <f t="shared" si="4"/>
        <v>17.161000000000001</v>
      </c>
      <c r="AA32" s="10">
        <f t="shared" si="5"/>
        <v>4</v>
      </c>
      <c r="AB32" s="10">
        <f t="shared" si="6"/>
        <v>4.9029999999999996</v>
      </c>
      <c r="AC32" s="10">
        <f t="shared" si="7"/>
        <v>26.968</v>
      </c>
      <c r="AD32" s="10">
        <f t="shared" si="8"/>
        <v>14</v>
      </c>
      <c r="AE32" t="s">
        <v>37</v>
      </c>
      <c r="AF32" s="10">
        <v>0</v>
      </c>
      <c r="AG32" s="10">
        <v>0</v>
      </c>
      <c r="AH32" s="10">
        <v>0</v>
      </c>
      <c r="AI32" s="10">
        <v>0</v>
      </c>
      <c r="AJ32" s="10">
        <v>0</v>
      </c>
      <c r="AK32" s="10">
        <v>0</v>
      </c>
      <c r="AL32" s="10">
        <v>0</v>
      </c>
      <c r="AM32" s="10">
        <v>0</v>
      </c>
      <c r="AN32" s="10">
        <v>0</v>
      </c>
      <c r="AO32" s="10">
        <v>0</v>
      </c>
      <c r="AP32" s="10">
        <v>4.2800002098083496</v>
      </c>
      <c r="AQ32" s="10">
        <v>4.2800002098083496</v>
      </c>
      <c r="AR32" s="10">
        <v>2.1400001049041748</v>
      </c>
      <c r="AS32" s="10">
        <v>2.1400001049041748</v>
      </c>
      <c r="AT32" s="10">
        <v>5.3499999046325684</v>
      </c>
      <c r="AU32" s="10">
        <v>3.2100000381469727</v>
      </c>
      <c r="AV32" s="10">
        <v>3.2100000381469727</v>
      </c>
      <c r="AW32" s="10">
        <v>4.2800002098083496</v>
      </c>
      <c r="AX32" s="10">
        <v>3.2100000381469727</v>
      </c>
      <c r="AY32" s="10">
        <v>3.2100000381469727</v>
      </c>
      <c r="AZ32" s="10">
        <v>7.4899997711181641</v>
      </c>
      <c r="BA32" s="10">
        <v>7.4899997711181641</v>
      </c>
      <c r="BB32" s="10">
        <v>7.4899997711181641</v>
      </c>
      <c r="BC32" s="10">
        <v>7.4899997711181641</v>
      </c>
      <c r="BD32" s="10">
        <v>4.2800002098083496</v>
      </c>
      <c r="BE32" s="10">
        <v>5.3499999046325684</v>
      </c>
      <c r="BF32" s="10">
        <v>4.2800002098083496</v>
      </c>
      <c r="BG32" s="10">
        <v>6.4200000762939453</v>
      </c>
      <c r="BH32" s="10">
        <v>4.2800002098083496</v>
      </c>
      <c r="BI32" s="10">
        <v>5.3499999046325684</v>
      </c>
      <c r="BJ32" s="10">
        <v>7.4899997711181641</v>
      </c>
      <c r="BK32" s="10">
        <v>4.2800002098083496</v>
      </c>
      <c r="BL32" s="10">
        <v>2.1400001049041748</v>
      </c>
      <c r="BM32" s="10">
        <v>4.3019999999999996</v>
      </c>
      <c r="BN32" s="10">
        <v>32.981000000000002</v>
      </c>
      <c r="BO32" s="10">
        <v>11.472</v>
      </c>
      <c r="BP32" s="10">
        <v>32.981000000000002</v>
      </c>
      <c r="BQ32" s="10">
        <v>33.698</v>
      </c>
      <c r="BR32" s="10">
        <v>4.3019999999999996</v>
      </c>
      <c r="BS32" s="10">
        <v>11.472</v>
      </c>
      <c r="BT32" s="10">
        <v>30.113</v>
      </c>
      <c r="BU32" s="10">
        <v>32.981000000000002</v>
      </c>
      <c r="BV32" s="10">
        <v>32.981000000000002</v>
      </c>
      <c r="BW32" s="10">
        <v>6.4530000000000003</v>
      </c>
      <c r="BX32" s="10">
        <v>8.6039999999999992</v>
      </c>
      <c r="BY32" s="10">
        <v>32.981000000000002</v>
      </c>
      <c r="BZ32" s="10">
        <v>32.981000000000002</v>
      </c>
      <c r="CA32" s="10">
        <v>5.0190000000000001</v>
      </c>
      <c r="CB32" s="10">
        <v>32.264000000000003</v>
      </c>
      <c r="CC32" s="10">
        <v>19.358000000000001</v>
      </c>
      <c r="CD32" s="10">
        <v>30.113</v>
      </c>
      <c r="CE32" s="10">
        <v>6.4530000000000003</v>
      </c>
      <c r="CF32" s="10">
        <v>7.8869999999999996</v>
      </c>
      <c r="CG32" s="10">
        <v>33.698</v>
      </c>
      <c r="CH32" s="10">
        <v>20.792000000000002</v>
      </c>
      <c r="CI32" s="10">
        <v>32.981000000000002</v>
      </c>
      <c r="CJ32" s="10">
        <v>29.396000000000001</v>
      </c>
      <c r="CK32" s="10">
        <v>7.8869999999999996</v>
      </c>
      <c r="CL32" s="10">
        <v>32.981000000000002</v>
      </c>
      <c r="CM32" s="10">
        <v>32.981000000000002</v>
      </c>
      <c r="CN32" s="10">
        <v>32.264000000000003</v>
      </c>
      <c r="CO32" s="10">
        <v>32.981000000000002</v>
      </c>
      <c r="CP32" s="10">
        <v>8.5809999999999995</v>
      </c>
      <c r="CQ32" s="10">
        <v>9.8059999999999992</v>
      </c>
      <c r="CR32" s="10">
        <v>17.161000000000001</v>
      </c>
      <c r="CS32" s="10">
        <v>14.71</v>
      </c>
      <c r="CT32" s="10">
        <v>7.3550000000000004</v>
      </c>
      <c r="CU32" s="10">
        <v>7.3550000000000004</v>
      </c>
      <c r="CV32" s="10">
        <v>9.8059999999999992</v>
      </c>
      <c r="CW32" s="10">
        <v>7.3550000000000004</v>
      </c>
      <c r="CX32" s="10">
        <v>26.968</v>
      </c>
      <c r="CY32" s="10">
        <v>6.1289999999999996</v>
      </c>
      <c r="CZ32" s="10">
        <v>14.71</v>
      </c>
      <c r="DA32" s="10">
        <v>6.1289999999999996</v>
      </c>
      <c r="DB32" s="10">
        <v>26.968</v>
      </c>
      <c r="DC32" s="10">
        <v>6.1289999999999996</v>
      </c>
      <c r="DD32" s="10">
        <v>26.968</v>
      </c>
      <c r="DE32" s="10">
        <v>12.257999999999999</v>
      </c>
      <c r="DF32" s="10">
        <v>9.8059999999999992</v>
      </c>
      <c r="DG32" s="10">
        <v>7.3550000000000004</v>
      </c>
      <c r="DH32" s="10">
        <v>24.515999999999998</v>
      </c>
      <c r="DI32" s="10">
        <v>15.935</v>
      </c>
      <c r="DJ32" s="10">
        <v>8.5809999999999995</v>
      </c>
      <c r="DK32" s="10">
        <v>4.9029999999999996</v>
      </c>
      <c r="DL32" s="10">
        <v>4.9029999999999996</v>
      </c>
      <c r="DM32" s="10">
        <v>17.161000000000001</v>
      </c>
      <c r="DN32" s="10">
        <v>13.484</v>
      </c>
      <c r="DO32" s="10">
        <v>12.257999999999999</v>
      </c>
      <c r="DP32" s="10">
        <v>12.257999999999999</v>
      </c>
      <c r="DQ32" s="10">
        <v>11.032</v>
      </c>
      <c r="DR32" s="10">
        <v>4.9029999999999996</v>
      </c>
      <c r="DS32" s="10">
        <v>15.935</v>
      </c>
      <c r="DT32" s="10">
        <v>19.613</v>
      </c>
      <c r="DU32" s="10">
        <v>17.161000000000001</v>
      </c>
      <c r="DV32" s="10">
        <v>7.3550000000000004</v>
      </c>
      <c r="DW32" s="10">
        <v>15.935</v>
      </c>
      <c r="DX32" s="10">
        <v>4.9029999999999996</v>
      </c>
      <c r="DY32" s="10">
        <v>26.968</v>
      </c>
      <c r="DZ32" s="10">
        <v>6.1289999999999996</v>
      </c>
      <c r="EA32" s="10">
        <v>4.9029999999999996</v>
      </c>
      <c r="EB32" s="10">
        <v>24.515999999999998</v>
      </c>
      <c r="EC32" s="10">
        <v>4.9029999999999996</v>
      </c>
      <c r="ED32" s="10">
        <v>26.968</v>
      </c>
      <c r="EE32" s="10">
        <v>4.9029999999999996</v>
      </c>
      <c r="EF32" s="10">
        <v>13.484</v>
      </c>
      <c r="EG32" s="10">
        <v>24.515999999999998</v>
      </c>
      <c r="EH32" s="10">
        <v>15.935</v>
      </c>
      <c r="EI32" s="10">
        <v>26.968</v>
      </c>
      <c r="EJ32" s="10">
        <v>24.515999999999998</v>
      </c>
      <c r="EK32" s="10">
        <v>15.935</v>
      </c>
      <c r="EL32" s="10">
        <v>4.9029999999999996</v>
      </c>
      <c r="EM32" s="10">
        <v>7.3550000000000004</v>
      </c>
      <c r="EN32" s="10">
        <v>6.1289999999999996</v>
      </c>
      <c r="EO32" s="10">
        <v>4.9029999999999996</v>
      </c>
      <c r="EP32" s="10">
        <v>4.9029999999999996</v>
      </c>
      <c r="EQ32" s="10">
        <v>4.9029999999999996</v>
      </c>
      <c r="ER32" s="10">
        <v>11.032</v>
      </c>
      <c r="ES32" s="10">
        <v>19.613</v>
      </c>
      <c r="ET32" s="10">
        <v>19.613</v>
      </c>
      <c r="EU32" s="10">
        <v>19.613</v>
      </c>
      <c r="EV32" s="10">
        <v>19.613</v>
      </c>
      <c r="EW32" s="10">
        <v>26.968</v>
      </c>
      <c r="EX32" s="10">
        <v>12.257999999999999</v>
      </c>
      <c r="EY32" s="10">
        <v>19.613</v>
      </c>
      <c r="EZ32" s="10">
        <v>19.613</v>
      </c>
      <c r="FA32" s="10">
        <v>19.613</v>
      </c>
      <c r="FB32" s="10">
        <v>11.032</v>
      </c>
      <c r="FC32" s="10">
        <v>19.613</v>
      </c>
      <c r="FD32" s="10">
        <v>19.613</v>
      </c>
      <c r="FE32" s="10">
        <v>19.613</v>
      </c>
      <c r="FF32" s="10">
        <v>19.613</v>
      </c>
      <c r="FG32" s="10">
        <v>11.032</v>
      </c>
      <c r="FH32" s="10">
        <v>19.613</v>
      </c>
      <c r="FI32" s="10">
        <v>24.515999999999998</v>
      </c>
      <c r="FJ32" s="10">
        <v>13.484</v>
      </c>
      <c r="FK32" s="10">
        <v>24.515999999999998</v>
      </c>
    </row>
    <row r="33" spans="3:167" x14ac:dyDescent="0.2">
      <c r="C33" s="10">
        <f t="shared" si="9"/>
        <v>0</v>
      </c>
      <c r="D33" s="10">
        <f t="shared" si="10"/>
        <v>5.059274286031723E-2</v>
      </c>
      <c r="E33" s="10" cm="1">
        <f t="array" ref="E33">gavg(AF33,EL33)</f>
        <v>1.3678987405298571E-2</v>
      </c>
      <c r="F33" s="10" cm="1">
        <f t="array" ref="F33">lnstdev(AF33,EL33)</f>
        <v>0.88150644334884942</v>
      </c>
      <c r="G33" s="10">
        <f t="shared" si="11"/>
        <v>111</v>
      </c>
      <c r="H33" s="10">
        <f t="shared" si="12"/>
        <v>0</v>
      </c>
      <c r="I33" s="10">
        <f t="shared" si="13"/>
        <v>0</v>
      </c>
      <c r="J33" s="10"/>
      <c r="K33" s="10"/>
      <c r="L33" s="10">
        <f t="shared" si="14"/>
        <v>10</v>
      </c>
      <c r="M33" s="10">
        <f t="shared" si="15"/>
        <v>0</v>
      </c>
      <c r="N33" s="10">
        <f t="shared" si="16"/>
        <v>0</v>
      </c>
      <c r="O33" s="10">
        <f t="shared" si="17"/>
        <v>23</v>
      </c>
      <c r="P33" s="10">
        <f t="shared" si="18"/>
        <v>4.0738815441727638E-3</v>
      </c>
      <c r="Q33" s="10">
        <f t="shared" si="19"/>
        <v>1.7999881878495216E-2</v>
      </c>
      <c r="R33" s="10">
        <f t="shared" si="20"/>
        <v>29</v>
      </c>
      <c r="S33" s="10">
        <f t="shared" si="21"/>
        <v>7.3750456795096397E-4</v>
      </c>
      <c r="T33" s="10">
        <f t="shared" si="22"/>
        <v>3.0685365200042725E-2</v>
      </c>
      <c r="U33" s="10">
        <f t="shared" si="23"/>
        <v>31</v>
      </c>
      <c r="V33" s="10">
        <f t="shared" si="0"/>
        <v>1.9168181344866753E-2</v>
      </c>
      <c r="W33" s="10">
        <f t="shared" si="1"/>
        <v>5.059274286031723E-2</v>
      </c>
      <c r="X33" s="10">
        <f t="shared" si="2"/>
        <v>18</v>
      </c>
      <c r="Y33" s="10">
        <f t="shared" si="3"/>
        <v>4.0157727897167206E-2</v>
      </c>
      <c r="Z33" s="10">
        <f t="shared" si="4"/>
        <v>5.059274286031723E-2</v>
      </c>
      <c r="AA33" s="10">
        <f t="shared" si="5"/>
        <v>4</v>
      </c>
      <c r="AB33" s="10">
        <f t="shared" si="6"/>
        <v>1.9168181344866753E-2</v>
      </c>
      <c r="AC33" s="10">
        <f t="shared" si="7"/>
        <v>3.7359856069087982E-2</v>
      </c>
      <c r="AD33" s="10">
        <f t="shared" si="8"/>
        <v>14</v>
      </c>
      <c r="AE33" t="s">
        <v>38</v>
      </c>
      <c r="AF33" s="10">
        <v>0</v>
      </c>
      <c r="AG33" s="10">
        <v>0</v>
      </c>
      <c r="AH33" s="10">
        <v>0</v>
      </c>
      <c r="AI33" s="10">
        <v>0</v>
      </c>
      <c r="AJ33" s="10">
        <v>0</v>
      </c>
      <c r="AK33" s="10">
        <v>0</v>
      </c>
      <c r="AL33" s="10">
        <v>0</v>
      </c>
      <c r="AM33" s="10">
        <v>0</v>
      </c>
      <c r="AN33" s="10">
        <v>0</v>
      </c>
      <c r="AO33" s="10">
        <v>0</v>
      </c>
      <c r="AP33" s="10">
        <v>0</v>
      </c>
      <c r="AQ33" s="10">
        <v>0</v>
      </c>
      <c r="AR33" s="10">
        <v>0</v>
      </c>
      <c r="AS33" s="10">
        <v>0</v>
      </c>
      <c r="AT33" s="10">
        <v>0</v>
      </c>
      <c r="AU33" s="10">
        <v>0</v>
      </c>
      <c r="AV33" s="10">
        <v>0</v>
      </c>
      <c r="AW33" s="10">
        <v>0</v>
      </c>
      <c r="AX33" s="10">
        <v>0</v>
      </c>
      <c r="AY33" s="10">
        <v>0</v>
      </c>
      <c r="AZ33" s="10">
        <v>0</v>
      </c>
      <c r="BA33" s="10">
        <v>0</v>
      </c>
      <c r="BB33" s="10">
        <v>0</v>
      </c>
      <c r="BC33" s="10">
        <v>0</v>
      </c>
      <c r="BD33" s="10">
        <v>0</v>
      </c>
      <c r="BE33" s="10">
        <v>0</v>
      </c>
      <c r="BF33" s="10">
        <v>0</v>
      </c>
      <c r="BG33" s="10">
        <v>0</v>
      </c>
      <c r="BH33" s="10">
        <v>0</v>
      </c>
      <c r="BI33" s="10">
        <v>0</v>
      </c>
      <c r="BJ33" s="10">
        <v>0</v>
      </c>
      <c r="BK33" s="10">
        <v>0</v>
      </c>
      <c r="BL33" s="10">
        <v>0</v>
      </c>
      <c r="BM33" s="10">
        <v>4.5514656230807304E-3</v>
      </c>
      <c r="BN33" s="10">
        <v>8.8525479659438133E-3</v>
      </c>
      <c r="BO33" s="10">
        <v>1.7997542396187782E-2</v>
      </c>
      <c r="BP33" s="10">
        <v>4.342254251241684E-3</v>
      </c>
      <c r="BQ33" s="10">
        <v>5.8778892271220684E-3</v>
      </c>
      <c r="BR33" s="10">
        <v>5.2268640138208866E-3</v>
      </c>
      <c r="BS33" s="10">
        <v>7.3590320535004139E-3</v>
      </c>
      <c r="BT33" s="10">
        <v>6.7803114652633667E-3</v>
      </c>
      <c r="BU33" s="10">
        <v>9.3363737687468529E-3</v>
      </c>
      <c r="BV33" s="10">
        <v>1.0072765871882439E-2</v>
      </c>
      <c r="BW33" s="10">
        <v>1.5061327256262302E-2</v>
      </c>
      <c r="BX33" s="10">
        <v>1.7288172617554665E-2</v>
      </c>
      <c r="BY33" s="10">
        <v>1.7932102084159851E-2</v>
      </c>
      <c r="BZ33" s="10">
        <v>4.0738815441727638E-3</v>
      </c>
      <c r="CA33" s="10">
        <v>8.9494436979293823E-3</v>
      </c>
      <c r="CB33" s="10">
        <v>7.7569438144564629E-3</v>
      </c>
      <c r="CC33" s="10">
        <v>1.79598368704319E-2</v>
      </c>
      <c r="CD33" s="10">
        <v>1.7953751608729362E-2</v>
      </c>
      <c r="CE33" s="10">
        <v>1.7990874126553535E-2</v>
      </c>
      <c r="CF33" s="10">
        <v>1.7993897199630737E-2</v>
      </c>
      <c r="CG33" s="10">
        <v>1.7999446019530296E-2</v>
      </c>
      <c r="CH33" s="10">
        <v>1.7999643459916115E-2</v>
      </c>
      <c r="CI33" s="10">
        <v>1.7996722832322121E-2</v>
      </c>
      <c r="CJ33" s="10">
        <v>1.7999881878495216E-2</v>
      </c>
      <c r="CK33" s="10">
        <v>1.7999250441789627E-2</v>
      </c>
      <c r="CL33" s="10">
        <v>1.7999356612563133E-2</v>
      </c>
      <c r="CM33" s="10">
        <v>1.7999457195401192E-2</v>
      </c>
      <c r="CN33" s="10">
        <v>1.7999399453401566E-2</v>
      </c>
      <c r="CO33" s="10">
        <v>1.7999317497014999E-2</v>
      </c>
      <c r="CP33" s="10">
        <v>6.2310807406902313E-3</v>
      </c>
      <c r="CQ33" s="10">
        <v>5.2824690937995911E-3</v>
      </c>
      <c r="CR33" s="10">
        <v>9.4008585438132286E-3</v>
      </c>
      <c r="CS33" s="10">
        <v>1.2113481760025024E-2</v>
      </c>
      <c r="CT33" s="10">
        <v>1.4192600734531879E-2</v>
      </c>
      <c r="CU33" s="10">
        <v>1.2797482311725616E-2</v>
      </c>
      <c r="CV33" s="10">
        <v>1.6618020832538605E-2</v>
      </c>
      <c r="CW33" s="10">
        <v>1.5622144564986229E-2</v>
      </c>
      <c r="CX33" s="10">
        <v>1.3175368309020996E-2</v>
      </c>
      <c r="CY33" s="10">
        <v>1.5102660283446312E-2</v>
      </c>
      <c r="CZ33" s="10">
        <v>1.5250194817781448E-2</v>
      </c>
      <c r="DA33" s="10">
        <v>1.9041601568460464E-2</v>
      </c>
      <c r="DB33" s="10">
        <v>1.746273972094059E-2</v>
      </c>
      <c r="DC33" s="10">
        <v>2.356569841504097E-2</v>
      </c>
      <c r="DD33" s="10">
        <v>1.8650677055120468E-2</v>
      </c>
      <c r="DE33" s="10">
        <v>1.790960319340229E-3</v>
      </c>
      <c r="DF33" s="10">
        <v>6.8619512021541595E-3</v>
      </c>
      <c r="DG33" s="10">
        <v>1.0127121582627296E-2</v>
      </c>
      <c r="DH33" s="10">
        <v>1.3770703226327896E-2</v>
      </c>
      <c r="DI33" s="10">
        <v>1.6442835330963135E-2</v>
      </c>
      <c r="DJ33" s="10">
        <v>1.6217697411775589E-2</v>
      </c>
      <c r="DK33" s="10">
        <v>3.0685365200042725E-2</v>
      </c>
      <c r="DL33" s="10">
        <v>2.0736631006002426E-2</v>
      </c>
      <c r="DM33" s="10">
        <v>7.3750456795096397E-4</v>
      </c>
      <c r="DN33" s="10">
        <v>1.607322134077549E-3</v>
      </c>
      <c r="DO33" s="10">
        <v>1.1109164915978909E-3</v>
      </c>
      <c r="DP33" s="10">
        <v>2.7591395191848278E-3</v>
      </c>
      <c r="DQ33" s="10">
        <v>1.5992058906704187E-3</v>
      </c>
      <c r="DR33" s="10">
        <v>1.5670400112867355E-2</v>
      </c>
      <c r="DS33" s="10">
        <v>2.2440837696194649E-2</v>
      </c>
      <c r="DT33" s="10">
        <v>1.2887664139270782E-2</v>
      </c>
      <c r="DU33" s="10">
        <v>4.0157727897167206E-2</v>
      </c>
      <c r="DV33" s="10">
        <v>4.550543799996376E-2</v>
      </c>
      <c r="DW33" s="10">
        <v>4.9755007028579712E-2</v>
      </c>
      <c r="DX33" s="10">
        <v>5.059274286031723E-2</v>
      </c>
      <c r="DY33" s="10">
        <v>1.9168181344866753E-2</v>
      </c>
      <c r="DZ33" s="10">
        <v>3.3954989165067673E-2</v>
      </c>
      <c r="EA33" s="10">
        <v>3.2906979322433472E-2</v>
      </c>
      <c r="EB33" s="10">
        <v>3.4118898212909698E-2</v>
      </c>
      <c r="EC33" s="10">
        <v>3.0850742012262344E-2</v>
      </c>
      <c r="ED33" s="10">
        <v>3.0626606196165085E-2</v>
      </c>
      <c r="EE33" s="10">
        <v>3.3973418176174164E-2</v>
      </c>
      <c r="EF33" s="10">
        <v>3.355022519826889E-2</v>
      </c>
      <c r="EG33" s="10">
        <v>3.494475781917572E-2</v>
      </c>
      <c r="EH33" s="10">
        <v>3.7359856069087982E-2</v>
      </c>
      <c r="EI33" s="10">
        <v>3.2070495188236237E-2</v>
      </c>
      <c r="EJ33" s="10">
        <v>3.1506113708019257E-2</v>
      </c>
      <c r="EK33" s="10">
        <v>3.4837715327739716E-2</v>
      </c>
      <c r="EL33" s="10">
        <v>3.3047348260879517E-2</v>
      </c>
      <c r="EM33" s="10">
        <v>1.2943609617650509E-3</v>
      </c>
      <c r="EN33" s="10">
        <v>8.6300668772310019E-4</v>
      </c>
      <c r="EO33" s="10">
        <v>8.695119759067893E-4</v>
      </c>
      <c r="EP33" s="10">
        <v>5.7322328211739659E-4</v>
      </c>
      <c r="EQ33" s="10">
        <v>5.3075427422299981E-4</v>
      </c>
      <c r="ER33" s="10">
        <v>1.6666245646774769E-3</v>
      </c>
      <c r="ES33" s="10">
        <v>1.0720834834501147E-3</v>
      </c>
      <c r="ET33" s="10">
        <v>9.7647251095622778E-4</v>
      </c>
      <c r="EU33" s="10">
        <v>9.4821362290531397E-4</v>
      </c>
      <c r="EV33" s="10">
        <v>9.6875702729448676E-4</v>
      </c>
      <c r="EW33" s="10">
        <v>1.3272140640765429E-3</v>
      </c>
      <c r="EX33" s="10">
        <v>2.3671991657465696E-3</v>
      </c>
      <c r="EY33" s="10">
        <v>1.4184633269906044E-2</v>
      </c>
      <c r="EZ33" s="10">
        <v>8.1267906352877617E-3</v>
      </c>
      <c r="FA33" s="10">
        <v>0.11999649554491043</v>
      </c>
      <c r="FB33" s="10">
        <v>2.1995312999933958E-3</v>
      </c>
      <c r="FC33" s="10">
        <v>1.7002344131469727E-2</v>
      </c>
      <c r="FD33" s="10">
        <v>3.4631233662366867E-2</v>
      </c>
      <c r="FE33" s="10">
        <v>3.4816458821296692E-2</v>
      </c>
      <c r="FF33" s="10">
        <v>5.2458688616752625E-2</v>
      </c>
      <c r="FG33" s="10">
        <v>3.9439192041754723E-3</v>
      </c>
      <c r="FH33" s="10">
        <v>3.5682283341884613E-2</v>
      </c>
      <c r="FI33" s="10">
        <v>2.4869922548532486E-2</v>
      </c>
      <c r="FJ33" s="10">
        <v>3.3195722848176956E-2</v>
      </c>
      <c r="FK33" s="10">
        <v>4.2813733220100403E-2</v>
      </c>
    </row>
    <row r="34" spans="3:167" x14ac:dyDescent="0.2">
      <c r="C34" s="10">
        <f t="shared" si="9"/>
        <v>0</v>
      </c>
      <c r="D34" s="10">
        <f t="shared" si="10"/>
        <v>32.981000000000002</v>
      </c>
      <c r="E34" s="10" cm="1">
        <f t="array" ref="E34">gavg(AF34,EL34)</f>
        <v>13.170233629623649</v>
      </c>
      <c r="F34" s="10" cm="1">
        <f t="array" ref="F34">lnstdev(AF34,EL34)</f>
        <v>0.53364062232805642</v>
      </c>
      <c r="G34" s="10">
        <f t="shared" si="11"/>
        <v>111</v>
      </c>
      <c r="H34" s="10">
        <f t="shared" si="12"/>
        <v>0</v>
      </c>
      <c r="I34" s="10">
        <f t="shared" si="13"/>
        <v>0</v>
      </c>
      <c r="J34" s="10"/>
      <c r="K34" s="10"/>
      <c r="L34" s="10">
        <f t="shared" si="14"/>
        <v>10</v>
      </c>
      <c r="M34" s="10">
        <f t="shared" si="15"/>
        <v>0</v>
      </c>
      <c r="N34" s="10">
        <f t="shared" si="16"/>
        <v>0</v>
      </c>
      <c r="O34" s="10">
        <f t="shared" si="17"/>
        <v>23</v>
      </c>
      <c r="P34" s="10">
        <f t="shared" si="18"/>
        <v>8.6039999999999992</v>
      </c>
      <c r="Q34" s="10">
        <f t="shared" si="19"/>
        <v>32.981000000000002</v>
      </c>
      <c r="R34" s="10">
        <f t="shared" si="20"/>
        <v>29</v>
      </c>
      <c r="S34" s="10">
        <f t="shared" si="21"/>
        <v>4.9029999999999996</v>
      </c>
      <c r="T34" s="10">
        <f t="shared" si="22"/>
        <v>26.968</v>
      </c>
      <c r="U34" s="10">
        <f t="shared" si="23"/>
        <v>31</v>
      </c>
      <c r="V34" s="10">
        <f t="shared" si="0"/>
        <v>4.9029999999999996</v>
      </c>
      <c r="W34" s="10">
        <f t="shared" si="1"/>
        <v>26.968</v>
      </c>
      <c r="X34" s="10">
        <f t="shared" si="2"/>
        <v>18</v>
      </c>
      <c r="Y34" s="10">
        <f t="shared" si="3"/>
        <v>4.9029999999999996</v>
      </c>
      <c r="Z34" s="10">
        <f t="shared" si="4"/>
        <v>12.257999999999999</v>
      </c>
      <c r="AA34" s="10">
        <f t="shared" si="5"/>
        <v>4</v>
      </c>
      <c r="AB34" s="10">
        <f t="shared" si="6"/>
        <v>4.9029999999999996</v>
      </c>
      <c r="AC34" s="10">
        <f t="shared" si="7"/>
        <v>26.968</v>
      </c>
      <c r="AD34" s="10">
        <f t="shared" si="8"/>
        <v>14</v>
      </c>
      <c r="AE34" t="s">
        <v>39</v>
      </c>
      <c r="AF34" s="10">
        <v>0</v>
      </c>
      <c r="AG34" s="10">
        <v>0</v>
      </c>
      <c r="AH34" s="10">
        <v>0</v>
      </c>
      <c r="AI34" s="10">
        <v>0</v>
      </c>
      <c r="AJ34" s="10">
        <v>0</v>
      </c>
      <c r="AK34" s="10">
        <v>0</v>
      </c>
      <c r="AL34" s="10">
        <v>0</v>
      </c>
      <c r="AM34" s="10">
        <v>0</v>
      </c>
      <c r="AN34" s="10">
        <v>0</v>
      </c>
      <c r="AO34" s="10">
        <v>0</v>
      </c>
      <c r="AP34" s="10">
        <v>0</v>
      </c>
      <c r="AQ34" s="10">
        <v>0</v>
      </c>
      <c r="AR34" s="10">
        <v>0</v>
      </c>
      <c r="AS34" s="10">
        <v>0</v>
      </c>
      <c r="AT34" s="10">
        <v>0</v>
      </c>
      <c r="AU34" s="10">
        <v>0</v>
      </c>
      <c r="AV34" s="10">
        <v>0</v>
      </c>
      <c r="AW34" s="10">
        <v>0</v>
      </c>
      <c r="AX34" s="10">
        <v>0</v>
      </c>
      <c r="AY34" s="10">
        <v>0</v>
      </c>
      <c r="AZ34" s="10">
        <v>0</v>
      </c>
      <c r="BA34" s="10">
        <v>0</v>
      </c>
      <c r="BB34" s="10">
        <v>0</v>
      </c>
      <c r="BC34" s="10">
        <v>0</v>
      </c>
      <c r="BD34" s="10">
        <v>0</v>
      </c>
      <c r="BE34" s="10">
        <v>0</v>
      </c>
      <c r="BF34" s="10">
        <v>0</v>
      </c>
      <c r="BG34" s="10">
        <v>0</v>
      </c>
      <c r="BH34" s="10">
        <v>0</v>
      </c>
      <c r="BI34" s="10">
        <v>0</v>
      </c>
      <c r="BJ34" s="10">
        <v>0</v>
      </c>
      <c r="BK34" s="10">
        <v>0</v>
      </c>
      <c r="BL34" s="10">
        <v>0</v>
      </c>
      <c r="BM34" s="10">
        <v>15.057</v>
      </c>
      <c r="BN34" s="10">
        <v>20.792000000000002</v>
      </c>
      <c r="BO34" s="10">
        <v>10.755000000000001</v>
      </c>
      <c r="BP34" s="10">
        <v>11.472</v>
      </c>
      <c r="BQ34" s="10">
        <v>32.981000000000002</v>
      </c>
      <c r="BR34" s="10">
        <v>30.113</v>
      </c>
      <c r="BS34" s="10">
        <v>10.038</v>
      </c>
      <c r="BT34" s="10">
        <v>25.094000000000001</v>
      </c>
      <c r="BU34" s="10">
        <v>32.981000000000002</v>
      </c>
      <c r="BV34" s="10">
        <v>22.943000000000001</v>
      </c>
      <c r="BW34" s="10">
        <v>10.755000000000001</v>
      </c>
      <c r="BX34" s="10">
        <v>15.057</v>
      </c>
      <c r="BY34" s="10">
        <v>25.811</v>
      </c>
      <c r="BZ34" s="10">
        <v>13.622999999999999</v>
      </c>
      <c r="CA34" s="10">
        <v>11.472</v>
      </c>
      <c r="CB34" s="10">
        <v>9.3209999999999997</v>
      </c>
      <c r="CC34" s="10">
        <v>12.189</v>
      </c>
      <c r="CD34" s="10">
        <v>30.113</v>
      </c>
      <c r="CE34" s="10">
        <v>10.038</v>
      </c>
      <c r="CF34" s="10">
        <v>12.189</v>
      </c>
      <c r="CG34" s="10">
        <v>15.773999999999999</v>
      </c>
      <c r="CH34" s="10">
        <v>18.641999999999999</v>
      </c>
      <c r="CI34" s="10">
        <v>23.66</v>
      </c>
      <c r="CJ34" s="10">
        <v>16.491</v>
      </c>
      <c r="CK34" s="10">
        <v>12.906000000000001</v>
      </c>
      <c r="CL34" s="10">
        <v>8.6039999999999992</v>
      </c>
      <c r="CM34" s="10">
        <v>31.547000000000001</v>
      </c>
      <c r="CN34" s="10">
        <v>30.83</v>
      </c>
      <c r="CO34" s="10">
        <v>10.755000000000001</v>
      </c>
      <c r="CP34" s="10">
        <v>8.5809999999999995</v>
      </c>
      <c r="CQ34" s="10">
        <v>26.968</v>
      </c>
      <c r="CR34" s="10">
        <v>6.1289999999999996</v>
      </c>
      <c r="CS34" s="10">
        <v>22.065000000000001</v>
      </c>
      <c r="CT34" s="10">
        <v>8.5809999999999995</v>
      </c>
      <c r="CU34" s="10">
        <v>24.515999999999998</v>
      </c>
      <c r="CV34" s="10">
        <v>15.935</v>
      </c>
      <c r="CW34" s="10">
        <v>12.257999999999999</v>
      </c>
      <c r="CX34" s="10">
        <v>19.613</v>
      </c>
      <c r="CY34" s="10">
        <v>7.3550000000000004</v>
      </c>
      <c r="CZ34" s="10">
        <v>8.5809999999999995</v>
      </c>
      <c r="DA34" s="10">
        <v>6.1289999999999996</v>
      </c>
      <c r="DB34" s="10">
        <v>26.968</v>
      </c>
      <c r="DC34" s="10">
        <v>14.71</v>
      </c>
      <c r="DD34" s="10">
        <v>9.8059999999999992</v>
      </c>
      <c r="DE34" s="10">
        <v>26.968</v>
      </c>
      <c r="DF34" s="10">
        <v>6.1289999999999996</v>
      </c>
      <c r="DG34" s="10">
        <v>15.935</v>
      </c>
      <c r="DH34" s="10">
        <v>22.065000000000001</v>
      </c>
      <c r="DI34" s="10">
        <v>6.1289999999999996</v>
      </c>
      <c r="DJ34" s="10">
        <v>12.257999999999999</v>
      </c>
      <c r="DK34" s="10">
        <v>11.032</v>
      </c>
      <c r="DL34" s="10">
        <v>14.71</v>
      </c>
      <c r="DM34" s="10">
        <v>6.1289999999999996</v>
      </c>
      <c r="DN34" s="10">
        <v>7.3550000000000004</v>
      </c>
      <c r="DO34" s="10">
        <v>19.613</v>
      </c>
      <c r="DP34" s="10">
        <v>4.9029999999999996</v>
      </c>
      <c r="DQ34" s="10">
        <v>11.032</v>
      </c>
      <c r="DR34" s="10">
        <v>4.9029999999999996</v>
      </c>
      <c r="DS34" s="10">
        <v>7.3550000000000004</v>
      </c>
      <c r="DT34" s="10">
        <v>26.968</v>
      </c>
      <c r="DU34" s="10">
        <v>7.3550000000000004</v>
      </c>
      <c r="DV34" s="10">
        <v>4.9029999999999996</v>
      </c>
      <c r="DW34" s="10">
        <v>11.032</v>
      </c>
      <c r="DX34" s="10">
        <v>12.257999999999999</v>
      </c>
      <c r="DY34" s="10">
        <v>19.613</v>
      </c>
      <c r="DZ34" s="10">
        <v>9.8059999999999992</v>
      </c>
      <c r="EA34" s="10">
        <v>4.9029999999999996</v>
      </c>
      <c r="EB34" s="10">
        <v>9.8059999999999992</v>
      </c>
      <c r="EC34" s="10">
        <v>7.3550000000000004</v>
      </c>
      <c r="ED34" s="10">
        <v>9.8059999999999992</v>
      </c>
      <c r="EE34" s="10">
        <v>11.032</v>
      </c>
      <c r="EF34" s="10">
        <v>9.8059999999999992</v>
      </c>
      <c r="EG34" s="10">
        <v>22.065000000000001</v>
      </c>
      <c r="EH34" s="10">
        <v>15.935</v>
      </c>
      <c r="EI34" s="10">
        <v>15.935</v>
      </c>
      <c r="EJ34" s="10">
        <v>26.968</v>
      </c>
      <c r="EK34" s="10">
        <v>19.613</v>
      </c>
      <c r="EL34" s="10">
        <v>6.1289999999999996</v>
      </c>
      <c r="EM34" s="10">
        <v>26.968</v>
      </c>
      <c r="EN34" s="10">
        <v>4.9029999999999996</v>
      </c>
      <c r="EO34" s="10">
        <v>22.065000000000001</v>
      </c>
      <c r="EP34" s="10">
        <v>14.71</v>
      </c>
      <c r="EQ34" s="10">
        <v>15.935</v>
      </c>
      <c r="ER34" s="10">
        <v>26.968</v>
      </c>
      <c r="ES34" s="10">
        <v>17.161000000000001</v>
      </c>
      <c r="ET34" s="10">
        <v>19.613</v>
      </c>
      <c r="EU34" s="10">
        <v>11.032</v>
      </c>
      <c r="EV34" s="10">
        <v>19.613</v>
      </c>
      <c r="EW34" s="10">
        <v>17.161000000000001</v>
      </c>
      <c r="EX34" s="10">
        <v>14.71</v>
      </c>
      <c r="EY34" s="10">
        <v>17.161000000000001</v>
      </c>
      <c r="EZ34" s="10">
        <v>17.161000000000001</v>
      </c>
      <c r="FA34" s="10">
        <v>12.257999999999999</v>
      </c>
      <c r="FB34" s="10">
        <v>14.71</v>
      </c>
      <c r="FC34" s="10">
        <v>19.613</v>
      </c>
      <c r="FD34" s="10">
        <v>22.065000000000001</v>
      </c>
      <c r="FE34" s="10">
        <v>22.065000000000001</v>
      </c>
      <c r="FF34" s="10">
        <v>19.613</v>
      </c>
      <c r="FG34" s="10">
        <v>8.5809999999999995</v>
      </c>
      <c r="FH34" s="10">
        <v>15.935</v>
      </c>
      <c r="FI34" s="10">
        <v>24.515999999999998</v>
      </c>
      <c r="FJ34" s="10">
        <v>13.484</v>
      </c>
      <c r="FK34" s="10">
        <v>15.935</v>
      </c>
    </row>
    <row r="35" spans="3:167" x14ac:dyDescent="0.2">
      <c r="C35" s="10">
        <f t="shared" si="9"/>
        <v>0</v>
      </c>
      <c r="D35" s="10">
        <f t="shared" si="10"/>
        <v>2.5420600548386574E-2</v>
      </c>
      <c r="E35" s="10" cm="1">
        <f t="array" ref="E35">gavg(AF35,EL35)</f>
        <v>5.4786708159511111E-3</v>
      </c>
      <c r="F35" s="10" cm="1">
        <f t="array" ref="F35">lnstdev(AF35,EL35)</f>
        <v>0.85843734836224472</v>
      </c>
      <c r="G35" s="10">
        <f t="shared" si="11"/>
        <v>111</v>
      </c>
      <c r="H35" s="10">
        <f t="shared" si="12"/>
        <v>0</v>
      </c>
      <c r="I35" s="10">
        <f t="shared" si="13"/>
        <v>0</v>
      </c>
      <c r="J35" s="10"/>
      <c r="K35" s="10"/>
      <c r="L35" s="10">
        <f t="shared" si="14"/>
        <v>10</v>
      </c>
      <c r="M35" s="10">
        <f t="shared" si="15"/>
        <v>1.923193340189755E-3</v>
      </c>
      <c r="N35" s="10">
        <f t="shared" si="16"/>
        <v>5.4422952234745026E-3</v>
      </c>
      <c r="O35" s="10">
        <f t="shared" si="17"/>
        <v>23</v>
      </c>
      <c r="P35" s="10">
        <f t="shared" si="18"/>
        <v>2.2328831255435944E-3</v>
      </c>
      <c r="Q35" s="10">
        <f t="shared" si="19"/>
        <v>1.0198966600000858E-2</v>
      </c>
      <c r="R35" s="10">
        <f t="shared" si="20"/>
        <v>29</v>
      </c>
      <c r="S35" s="10">
        <f t="shared" si="21"/>
        <v>3.4099124604836106E-4</v>
      </c>
      <c r="T35" s="10">
        <f t="shared" si="22"/>
        <v>1.2046833522617817E-2</v>
      </c>
      <c r="U35" s="10">
        <f t="shared" si="23"/>
        <v>31</v>
      </c>
      <c r="V35" s="10">
        <f t="shared" si="0"/>
        <v>1.3801626861095428E-2</v>
      </c>
      <c r="W35" s="10">
        <f t="shared" si="1"/>
        <v>2.5420600548386574E-2</v>
      </c>
      <c r="X35" s="10">
        <f t="shared" si="2"/>
        <v>18</v>
      </c>
      <c r="Y35" s="10">
        <f t="shared" si="3"/>
        <v>2.2385578602552414E-2</v>
      </c>
      <c r="Z35" s="10">
        <f t="shared" si="4"/>
        <v>2.5420600548386574E-2</v>
      </c>
      <c r="AA35" s="10">
        <f t="shared" si="5"/>
        <v>4</v>
      </c>
      <c r="AB35" s="10">
        <f t="shared" si="6"/>
        <v>1.3801626861095428E-2</v>
      </c>
      <c r="AC35" s="10">
        <f t="shared" si="7"/>
        <v>1.7973827198147774E-2</v>
      </c>
      <c r="AD35" s="10">
        <f t="shared" si="8"/>
        <v>14</v>
      </c>
      <c r="AE35" t="s">
        <v>40</v>
      </c>
      <c r="AF35" s="10">
        <v>0</v>
      </c>
      <c r="AG35" s="10">
        <v>0</v>
      </c>
      <c r="AH35" s="10">
        <v>0</v>
      </c>
      <c r="AI35" s="10">
        <v>0</v>
      </c>
      <c r="AJ35" s="10">
        <v>0</v>
      </c>
      <c r="AK35" s="10">
        <v>0</v>
      </c>
      <c r="AL35" s="10">
        <v>0</v>
      </c>
      <c r="AM35" s="10">
        <v>0</v>
      </c>
      <c r="AN35" s="10">
        <v>0</v>
      </c>
      <c r="AO35" s="10">
        <v>0</v>
      </c>
      <c r="AP35" s="10">
        <v>2.4543667677789927E-3</v>
      </c>
      <c r="AQ35" s="10">
        <v>2.1689548157155514E-3</v>
      </c>
      <c r="AR35" s="10">
        <v>2.8881649486720562E-3</v>
      </c>
      <c r="AS35" s="10">
        <v>4.1168387979269028E-3</v>
      </c>
      <c r="AT35" s="10">
        <v>3.1876498833298683E-3</v>
      </c>
      <c r="AU35" s="10">
        <v>3.4486877266317606E-3</v>
      </c>
      <c r="AV35" s="10">
        <v>3.7031760439276695E-3</v>
      </c>
      <c r="AW35" s="10">
        <v>5.4422952234745026E-3</v>
      </c>
      <c r="AX35" s="10">
        <v>5.3657777607440948E-3</v>
      </c>
      <c r="AY35" s="10">
        <v>4.2124846950173378E-3</v>
      </c>
      <c r="AZ35" s="10">
        <v>2.5994470342993736E-3</v>
      </c>
      <c r="BA35" s="10">
        <v>3.2519188243895769E-3</v>
      </c>
      <c r="BB35" s="10">
        <v>2.7256808243691921E-3</v>
      </c>
      <c r="BC35" s="10">
        <v>1.923193340189755E-3</v>
      </c>
      <c r="BD35" s="10">
        <v>2.522727008908987E-3</v>
      </c>
      <c r="BE35" s="10">
        <v>3.3676337916404009E-3</v>
      </c>
      <c r="BF35" s="10">
        <v>4.8008915036916733E-3</v>
      </c>
      <c r="BG35" s="10">
        <v>3.4468988887965679E-3</v>
      </c>
      <c r="BH35" s="10">
        <v>2.5024388451129198E-3</v>
      </c>
      <c r="BI35" s="10">
        <v>3.4244251437485218E-3</v>
      </c>
      <c r="BJ35" s="10">
        <v>3.0153968837112188E-3</v>
      </c>
      <c r="BK35" s="10">
        <v>2.2152781020849943E-3</v>
      </c>
      <c r="BL35" s="10">
        <v>3.0602011829614639E-3</v>
      </c>
      <c r="BM35" s="10">
        <v>2.3768451064825058E-3</v>
      </c>
      <c r="BN35" s="10">
        <v>3.2974425703287125E-3</v>
      </c>
      <c r="BO35" s="10">
        <v>8.9490115642547607E-3</v>
      </c>
      <c r="BP35" s="10">
        <v>2.7093365788459778E-3</v>
      </c>
      <c r="BQ35" s="10">
        <v>2.7989712543785572E-3</v>
      </c>
      <c r="BR35" s="10">
        <v>2.448478015139699E-3</v>
      </c>
      <c r="BS35" s="10">
        <v>2.2328831255435944E-3</v>
      </c>
      <c r="BT35" s="10">
        <v>2.5397504214197397E-3</v>
      </c>
      <c r="BU35" s="10">
        <v>2.8541833162307739E-3</v>
      </c>
      <c r="BV35" s="10">
        <v>3.2548115123063326E-3</v>
      </c>
      <c r="BW35" s="10">
        <v>5.0219367258250713E-3</v>
      </c>
      <c r="BX35" s="10">
        <v>5.9080701321363449E-3</v>
      </c>
      <c r="BY35" s="10">
        <v>6.5650264732539654E-3</v>
      </c>
      <c r="BZ35" s="10">
        <v>2.5192515458911657E-3</v>
      </c>
      <c r="CA35" s="10">
        <v>3.7321853451430798E-3</v>
      </c>
      <c r="CB35" s="10">
        <v>2.4905162863433361E-3</v>
      </c>
      <c r="CC35" s="10">
        <v>7.5843227095901966E-3</v>
      </c>
      <c r="CD35" s="10">
        <v>6.6929366439580917E-3</v>
      </c>
      <c r="CE35" s="10">
        <v>7.7195744961500168E-3</v>
      </c>
      <c r="CF35" s="10">
        <v>8.1205293536186218E-3</v>
      </c>
      <c r="CG35" s="10">
        <v>8.6326766759157181E-3</v>
      </c>
      <c r="CH35" s="10">
        <v>9.4533124938607216E-3</v>
      </c>
      <c r="CI35" s="10">
        <v>7.7222702093422413E-3</v>
      </c>
      <c r="CJ35" s="10">
        <v>8.9452005922794342E-3</v>
      </c>
      <c r="CK35" s="10">
        <v>9.7780153155326843E-3</v>
      </c>
      <c r="CL35" s="10">
        <v>8.7742004543542862E-3</v>
      </c>
      <c r="CM35" s="10">
        <v>1.0198966600000858E-2</v>
      </c>
      <c r="CN35" s="10">
        <v>1.0124698281288147E-2</v>
      </c>
      <c r="CO35" s="10">
        <v>9.6780452877283096E-3</v>
      </c>
      <c r="CP35" s="10">
        <v>2.9702566098421812E-3</v>
      </c>
      <c r="CQ35" s="10">
        <v>3.0108275823295116E-3</v>
      </c>
      <c r="CR35" s="10">
        <v>4.4247857294976711E-3</v>
      </c>
      <c r="CS35" s="10">
        <v>9.3084434047341347E-3</v>
      </c>
      <c r="CT35" s="10">
        <v>7.609581109136343E-3</v>
      </c>
      <c r="CU35" s="10">
        <v>6.8706297315657139E-3</v>
      </c>
      <c r="CV35" s="10">
        <v>6.0175647959113121E-3</v>
      </c>
      <c r="CW35" s="10">
        <v>1.0413063690066338E-2</v>
      </c>
      <c r="CX35" s="10">
        <v>6.827120203524828E-3</v>
      </c>
      <c r="CY35" s="10">
        <v>7.3673487640917301E-3</v>
      </c>
      <c r="CZ35" s="10">
        <v>7.1699554100632668E-3</v>
      </c>
      <c r="DA35" s="10">
        <v>1.0267742909491062E-2</v>
      </c>
      <c r="DB35" s="10">
        <v>1.0037926957011223E-2</v>
      </c>
      <c r="DC35" s="10">
        <v>9.7356494516134262E-3</v>
      </c>
      <c r="DD35" s="10">
        <v>8.2094753161072731E-3</v>
      </c>
      <c r="DE35" s="10">
        <v>7.957140333019197E-4</v>
      </c>
      <c r="DF35" s="10">
        <v>3.7787279579788446E-3</v>
      </c>
      <c r="DG35" s="10">
        <v>5.4599866271018982E-3</v>
      </c>
      <c r="DH35" s="10">
        <v>6.7453319206833839E-3</v>
      </c>
      <c r="DI35" s="10">
        <v>7.4449433013796806E-3</v>
      </c>
      <c r="DJ35" s="10">
        <v>8.4316888824105263E-3</v>
      </c>
      <c r="DK35" s="10">
        <v>1.2046833522617817E-2</v>
      </c>
      <c r="DL35" s="10">
        <v>1.0845780372619629E-2</v>
      </c>
      <c r="DM35" s="10">
        <v>3.4099124604836106E-4</v>
      </c>
      <c r="DN35" s="10">
        <v>8.3111115964129567E-4</v>
      </c>
      <c r="DO35" s="10">
        <v>5.5981520563364029E-4</v>
      </c>
      <c r="DP35" s="10">
        <v>1.2404392473399639E-3</v>
      </c>
      <c r="DQ35" s="10">
        <v>6.1035080580040812E-4</v>
      </c>
      <c r="DR35" s="10">
        <v>8.5699362680315971E-3</v>
      </c>
      <c r="DS35" s="10">
        <v>8.1167202442884445E-3</v>
      </c>
      <c r="DT35" s="10">
        <v>6.4339539967477322E-3</v>
      </c>
      <c r="DU35" s="10">
        <v>2.2477727383375168E-2</v>
      </c>
      <c r="DV35" s="10">
        <v>2.2385578602552414E-2</v>
      </c>
      <c r="DW35" s="10">
        <v>2.5420600548386574E-2</v>
      </c>
      <c r="DX35" s="10">
        <v>2.3039354011416435E-2</v>
      </c>
      <c r="DY35" s="10">
        <v>1.3801626861095428E-2</v>
      </c>
      <c r="DZ35" s="10">
        <v>1.7495004460215569E-2</v>
      </c>
      <c r="EA35" s="10">
        <v>1.5110151842236519E-2</v>
      </c>
      <c r="EB35" s="10">
        <v>1.62680484354496E-2</v>
      </c>
      <c r="EC35" s="10">
        <v>1.4822209253907204E-2</v>
      </c>
      <c r="ED35" s="10">
        <v>1.4112894423305988E-2</v>
      </c>
      <c r="EE35" s="10">
        <v>1.7973827198147774E-2</v>
      </c>
      <c r="EF35" s="10">
        <v>1.4384052716195583E-2</v>
      </c>
      <c r="EG35" s="10">
        <v>1.7297392711043358E-2</v>
      </c>
      <c r="EH35" s="10">
        <v>1.4994691126048565E-2</v>
      </c>
      <c r="EI35" s="10">
        <v>1.6102293506264687E-2</v>
      </c>
      <c r="EJ35" s="10">
        <v>1.5355752781033516E-2</v>
      </c>
      <c r="EK35" s="10">
        <v>1.5516377985477448E-2</v>
      </c>
      <c r="EL35" s="10">
        <v>1.4721689745783806E-2</v>
      </c>
      <c r="EM35" s="10">
        <v>4.5955055975355208E-4</v>
      </c>
      <c r="EN35" s="10">
        <v>3.2763706985861063E-4</v>
      </c>
      <c r="EO35" s="10">
        <v>3.0416162917390466E-4</v>
      </c>
      <c r="EP35" s="10">
        <v>2.2561385412700474E-4</v>
      </c>
      <c r="EQ35" s="10">
        <v>2.7135151321999729E-4</v>
      </c>
      <c r="ER35" s="10">
        <v>5.1770138088613749E-4</v>
      </c>
      <c r="ES35" s="10">
        <v>5.1259750034660101E-4</v>
      </c>
      <c r="ET35" s="10">
        <v>4.3784841545857489E-4</v>
      </c>
      <c r="EU35" s="10">
        <v>4.4907789560966194E-4</v>
      </c>
      <c r="EV35" s="10">
        <v>4.1539990343153477E-4</v>
      </c>
      <c r="EW35" s="10">
        <v>5.0499389180913568E-4</v>
      </c>
      <c r="EX35" s="10">
        <v>1.1570279020816088E-3</v>
      </c>
      <c r="EY35" s="10">
        <v>8.4985392168164253E-3</v>
      </c>
      <c r="EZ35" s="10">
        <v>3.7706275470554829E-3</v>
      </c>
      <c r="FA35" s="10">
        <v>9.7018606960773468E-2</v>
      </c>
      <c r="FB35" s="10">
        <v>6.7725894041359425E-4</v>
      </c>
      <c r="FC35" s="10">
        <v>6.4684064127504826E-3</v>
      </c>
      <c r="FD35" s="10">
        <v>1.184688787907362E-2</v>
      </c>
      <c r="FE35" s="10">
        <v>1.2524496763944626E-2</v>
      </c>
      <c r="FF35" s="10">
        <v>2.2411299869418144E-2</v>
      </c>
      <c r="FG35" s="10">
        <v>1.3849352253600955E-3</v>
      </c>
      <c r="FH35" s="10">
        <v>1.9060879945755005E-2</v>
      </c>
      <c r="FI35" s="10">
        <v>1.6638580709695816E-2</v>
      </c>
      <c r="FJ35" s="10">
        <v>1.7852660268545151E-2</v>
      </c>
      <c r="FK35" s="10">
        <v>1.8538996577262878E-2</v>
      </c>
    </row>
    <row r="36" spans="3:167" x14ac:dyDescent="0.2">
      <c r="C36" s="10">
        <f t="shared" si="9"/>
        <v>0</v>
      </c>
      <c r="D36" s="10">
        <f t="shared" si="10"/>
        <v>33.698</v>
      </c>
      <c r="E36" s="10" cm="1">
        <f t="array" ref="E36">gavg(AF36,EL36)</f>
        <v>9.3241694233921795</v>
      </c>
      <c r="F36" s="10" cm="1">
        <f t="array" ref="F36">lnstdev(AF36,EL36)</f>
        <v>0.81699850367324622</v>
      </c>
      <c r="G36" s="10">
        <f t="shared" si="11"/>
        <v>111</v>
      </c>
      <c r="H36" s="10">
        <f t="shared" si="12"/>
        <v>0</v>
      </c>
      <c r="I36" s="10">
        <f t="shared" si="13"/>
        <v>0</v>
      </c>
      <c r="J36" s="10"/>
      <c r="K36" s="10"/>
      <c r="L36" s="10">
        <f t="shared" si="14"/>
        <v>10</v>
      </c>
      <c r="M36" s="10">
        <f t="shared" si="15"/>
        <v>1.0700000524520874</v>
      </c>
      <c r="N36" s="10">
        <f t="shared" si="16"/>
        <v>8.5600004196166992</v>
      </c>
      <c r="O36" s="10">
        <f t="shared" si="17"/>
        <v>23</v>
      </c>
      <c r="P36" s="10">
        <f t="shared" si="18"/>
        <v>5.0190000000000001</v>
      </c>
      <c r="Q36" s="10">
        <f t="shared" si="19"/>
        <v>33.698</v>
      </c>
      <c r="R36" s="10">
        <f t="shared" si="20"/>
        <v>29</v>
      </c>
      <c r="S36" s="10">
        <f t="shared" si="21"/>
        <v>4.9029999999999996</v>
      </c>
      <c r="T36" s="10">
        <f t="shared" si="22"/>
        <v>26.968</v>
      </c>
      <c r="U36" s="10">
        <f t="shared" si="23"/>
        <v>31</v>
      </c>
      <c r="V36" s="10">
        <f t="shared" si="0"/>
        <v>4.9029999999999996</v>
      </c>
      <c r="W36" s="10">
        <f t="shared" si="1"/>
        <v>26.968</v>
      </c>
      <c r="X36" s="10">
        <f t="shared" si="2"/>
        <v>18</v>
      </c>
      <c r="Y36" s="10">
        <f t="shared" si="3"/>
        <v>4.9029999999999996</v>
      </c>
      <c r="Z36" s="10">
        <f t="shared" si="4"/>
        <v>26.968</v>
      </c>
      <c r="AA36" s="10">
        <f t="shared" si="5"/>
        <v>4</v>
      </c>
      <c r="AB36" s="10">
        <f t="shared" si="6"/>
        <v>4.9029999999999996</v>
      </c>
      <c r="AC36" s="10">
        <f t="shared" si="7"/>
        <v>26.968</v>
      </c>
      <c r="AD36" s="10">
        <f t="shared" si="8"/>
        <v>14</v>
      </c>
      <c r="AE36" t="s">
        <v>41</v>
      </c>
      <c r="AF36" s="10">
        <v>0</v>
      </c>
      <c r="AG36" s="10">
        <v>0</v>
      </c>
      <c r="AH36" s="10">
        <v>0</v>
      </c>
      <c r="AI36" s="10">
        <v>0</v>
      </c>
      <c r="AJ36" s="10">
        <v>0</v>
      </c>
      <c r="AK36" s="10">
        <v>0</v>
      </c>
      <c r="AL36" s="10">
        <v>0</v>
      </c>
      <c r="AM36" s="10">
        <v>0</v>
      </c>
      <c r="AN36" s="10">
        <v>0</v>
      </c>
      <c r="AO36" s="10">
        <v>0</v>
      </c>
      <c r="AP36" s="10">
        <v>7.4899997711181641</v>
      </c>
      <c r="AQ36" s="10">
        <v>8.5600004196166992</v>
      </c>
      <c r="AR36" s="10">
        <v>1.0700000524520874</v>
      </c>
      <c r="AS36" s="10">
        <v>1.0700000524520874</v>
      </c>
      <c r="AT36" s="10">
        <v>3.2100000381469727</v>
      </c>
      <c r="AU36" s="10">
        <v>5.3499999046325684</v>
      </c>
      <c r="AV36" s="10">
        <v>4.2800002098083496</v>
      </c>
      <c r="AW36" s="10">
        <v>4.2800002098083496</v>
      </c>
      <c r="AX36" s="10">
        <v>2.1400001049041748</v>
      </c>
      <c r="AY36" s="10">
        <v>7.4899997711181641</v>
      </c>
      <c r="AZ36" s="10">
        <v>6.4200000762939453</v>
      </c>
      <c r="BA36" s="10">
        <v>6.4200000762939453</v>
      </c>
      <c r="BB36" s="10">
        <v>6.4200000762939453</v>
      </c>
      <c r="BC36" s="10">
        <v>7.4899997711181641</v>
      </c>
      <c r="BD36" s="10">
        <v>4.2800002098083496</v>
      </c>
      <c r="BE36" s="10">
        <v>5.3499999046325684</v>
      </c>
      <c r="BF36" s="10">
        <v>4.2800002098083496</v>
      </c>
      <c r="BG36" s="10">
        <v>3.2100000381469727</v>
      </c>
      <c r="BH36" s="10">
        <v>4.2800002098083496</v>
      </c>
      <c r="BI36" s="10">
        <v>7.4899997711181641</v>
      </c>
      <c r="BJ36" s="10">
        <v>1.0700000524520874</v>
      </c>
      <c r="BK36" s="10">
        <v>1.0700000524520874</v>
      </c>
      <c r="BL36" s="10">
        <v>1.0700000524520874</v>
      </c>
      <c r="BM36" s="10">
        <v>33.698</v>
      </c>
      <c r="BN36" s="10">
        <v>22.943000000000001</v>
      </c>
      <c r="BO36" s="10">
        <v>14.34</v>
      </c>
      <c r="BP36" s="10">
        <v>13.622999999999999</v>
      </c>
      <c r="BQ36" s="10">
        <v>32.981000000000002</v>
      </c>
      <c r="BR36" s="10">
        <v>33.698</v>
      </c>
      <c r="BS36" s="10">
        <v>12.906000000000001</v>
      </c>
      <c r="BT36" s="10">
        <v>25.811</v>
      </c>
      <c r="BU36" s="10">
        <v>22.943000000000001</v>
      </c>
      <c r="BV36" s="10">
        <v>25.811</v>
      </c>
      <c r="BW36" s="10">
        <v>12.906000000000001</v>
      </c>
      <c r="BX36" s="10">
        <v>12.189</v>
      </c>
      <c r="BY36" s="10">
        <v>23.66</v>
      </c>
      <c r="BZ36" s="10">
        <v>5.7359999999999998</v>
      </c>
      <c r="CA36" s="10">
        <v>12.906000000000001</v>
      </c>
      <c r="CB36" s="10">
        <v>5.0190000000000001</v>
      </c>
      <c r="CC36" s="10">
        <v>12.189</v>
      </c>
      <c r="CD36" s="10">
        <v>23.66</v>
      </c>
      <c r="CE36" s="10">
        <v>12.906000000000001</v>
      </c>
      <c r="CF36" s="10">
        <v>12.906000000000001</v>
      </c>
      <c r="CG36" s="10">
        <v>16.491</v>
      </c>
      <c r="CH36" s="10">
        <v>13.622999999999999</v>
      </c>
      <c r="CI36" s="10">
        <v>25.811</v>
      </c>
      <c r="CJ36" s="10">
        <v>14.34</v>
      </c>
      <c r="CK36" s="10">
        <v>14.34</v>
      </c>
      <c r="CL36" s="10">
        <v>14.34</v>
      </c>
      <c r="CM36" s="10">
        <v>24.376999999999999</v>
      </c>
      <c r="CN36" s="10">
        <v>26.527999999999999</v>
      </c>
      <c r="CO36" s="10">
        <v>9.3209999999999997</v>
      </c>
      <c r="CP36" s="10">
        <v>8.5809999999999995</v>
      </c>
      <c r="CQ36" s="10">
        <v>7.3550000000000004</v>
      </c>
      <c r="CR36" s="10">
        <v>6.1289999999999996</v>
      </c>
      <c r="CS36" s="10">
        <v>22.065000000000001</v>
      </c>
      <c r="CT36" s="10">
        <v>8.5809999999999995</v>
      </c>
      <c r="CU36" s="10">
        <v>24.515999999999998</v>
      </c>
      <c r="CV36" s="10">
        <v>8.5809999999999995</v>
      </c>
      <c r="CW36" s="10">
        <v>12.257999999999999</v>
      </c>
      <c r="CX36" s="10">
        <v>24.515999999999998</v>
      </c>
      <c r="CY36" s="10">
        <v>6.1289999999999996</v>
      </c>
      <c r="CZ36" s="10">
        <v>6.1289999999999996</v>
      </c>
      <c r="DA36" s="10">
        <v>6.1289999999999996</v>
      </c>
      <c r="DB36" s="10">
        <v>26.968</v>
      </c>
      <c r="DC36" s="10">
        <v>9.8059999999999992</v>
      </c>
      <c r="DD36" s="10">
        <v>26.968</v>
      </c>
      <c r="DE36" s="10">
        <v>7.3550000000000004</v>
      </c>
      <c r="DF36" s="10">
        <v>11.032</v>
      </c>
      <c r="DG36" s="10">
        <v>15.935</v>
      </c>
      <c r="DH36" s="10">
        <v>24.515999999999998</v>
      </c>
      <c r="DI36" s="10">
        <v>4.9029999999999996</v>
      </c>
      <c r="DJ36" s="10">
        <v>4.9029999999999996</v>
      </c>
      <c r="DK36" s="10">
        <v>4.9029999999999996</v>
      </c>
      <c r="DL36" s="10">
        <v>4.9029999999999996</v>
      </c>
      <c r="DM36" s="10">
        <v>17.161000000000001</v>
      </c>
      <c r="DN36" s="10">
        <v>4.9029999999999996</v>
      </c>
      <c r="DO36" s="10">
        <v>17.161000000000001</v>
      </c>
      <c r="DP36" s="10">
        <v>12.257999999999999</v>
      </c>
      <c r="DQ36" s="10">
        <v>4.9029999999999996</v>
      </c>
      <c r="DR36" s="10">
        <v>4.9029999999999996</v>
      </c>
      <c r="DS36" s="10">
        <v>4.9029999999999996</v>
      </c>
      <c r="DT36" s="10">
        <v>6.1289999999999996</v>
      </c>
      <c r="DU36" s="10">
        <v>7.3550000000000004</v>
      </c>
      <c r="DV36" s="10">
        <v>4.9029999999999996</v>
      </c>
      <c r="DW36" s="10">
        <v>26.968</v>
      </c>
      <c r="DX36" s="10">
        <v>8.5809999999999995</v>
      </c>
      <c r="DY36" s="10">
        <v>19.613</v>
      </c>
      <c r="DZ36" s="10">
        <v>4.9029999999999996</v>
      </c>
      <c r="EA36" s="10">
        <v>9.8059999999999992</v>
      </c>
      <c r="EB36" s="10">
        <v>24.515999999999998</v>
      </c>
      <c r="EC36" s="10">
        <v>7.3550000000000004</v>
      </c>
      <c r="ED36" s="10">
        <v>9.8059999999999992</v>
      </c>
      <c r="EE36" s="10">
        <v>11.032</v>
      </c>
      <c r="EF36" s="10">
        <v>9.8059999999999992</v>
      </c>
      <c r="EG36" s="10">
        <v>22.065000000000001</v>
      </c>
      <c r="EH36" s="10">
        <v>19.613</v>
      </c>
      <c r="EI36" s="10">
        <v>12.257999999999999</v>
      </c>
      <c r="EJ36" s="10">
        <v>22.065000000000001</v>
      </c>
      <c r="EK36" s="10">
        <v>26.968</v>
      </c>
      <c r="EL36" s="10">
        <v>4.9029999999999996</v>
      </c>
      <c r="EM36" s="10">
        <v>4.9029999999999996</v>
      </c>
      <c r="EN36" s="10">
        <v>4.9029999999999996</v>
      </c>
      <c r="EO36" s="10">
        <v>19.613</v>
      </c>
      <c r="EP36" s="10">
        <v>19.613</v>
      </c>
      <c r="EQ36" s="10">
        <v>13.484</v>
      </c>
      <c r="ER36" s="10">
        <v>19.613</v>
      </c>
      <c r="ES36" s="10">
        <v>17.161000000000001</v>
      </c>
      <c r="ET36" s="10">
        <v>19.613</v>
      </c>
      <c r="EU36" s="10">
        <v>19.613</v>
      </c>
      <c r="EV36" s="10">
        <v>17.161000000000001</v>
      </c>
      <c r="EW36" s="10">
        <v>15.935</v>
      </c>
      <c r="EX36" s="10">
        <v>14.71</v>
      </c>
      <c r="EY36" s="10">
        <v>22.065000000000001</v>
      </c>
      <c r="EZ36" s="10">
        <v>19.613</v>
      </c>
      <c r="FA36" s="10">
        <v>13.484</v>
      </c>
      <c r="FB36" s="10">
        <v>17.161000000000001</v>
      </c>
      <c r="FC36" s="10">
        <v>19.613</v>
      </c>
      <c r="FD36" s="10">
        <v>22.065000000000001</v>
      </c>
      <c r="FE36" s="10">
        <v>19.613</v>
      </c>
      <c r="FF36" s="10">
        <v>19.613</v>
      </c>
      <c r="FG36" s="10">
        <v>17.161000000000001</v>
      </c>
      <c r="FH36" s="10">
        <v>19.613</v>
      </c>
      <c r="FI36" s="10">
        <v>26.968</v>
      </c>
      <c r="FJ36" s="10">
        <v>12.257999999999999</v>
      </c>
      <c r="FK36" s="10">
        <v>14.71</v>
      </c>
    </row>
    <row r="37" spans="3:167" x14ac:dyDescent="0.2">
      <c r="C37" s="10">
        <f t="shared" si="9"/>
        <v>0</v>
      </c>
      <c r="D37" s="10">
        <f t="shared" si="10"/>
        <v>3.7337145768105984E-3</v>
      </c>
      <c r="E37" s="10" cm="1">
        <f t="array" ref="E37">gavg(AF37,EL37)</f>
        <v>6.1085490659905427E-4</v>
      </c>
      <c r="F37" s="10" cm="1">
        <f t="array" ref="F37">lnstdev(AF37,EL37)</f>
        <v>0.96605045557141622</v>
      </c>
      <c r="G37" s="10">
        <f t="shared" si="11"/>
        <v>111</v>
      </c>
      <c r="H37" s="10">
        <f t="shared" si="12"/>
        <v>0</v>
      </c>
      <c r="I37" s="10">
        <f t="shared" si="13"/>
        <v>0</v>
      </c>
      <c r="J37" s="10"/>
      <c r="K37" s="10"/>
      <c r="L37" s="10">
        <f t="shared" si="14"/>
        <v>10</v>
      </c>
      <c r="M37" s="10">
        <f t="shared" si="15"/>
        <v>0</v>
      </c>
      <c r="N37" s="10">
        <f t="shared" si="16"/>
        <v>0</v>
      </c>
      <c r="O37" s="10">
        <f t="shared" si="17"/>
        <v>23</v>
      </c>
      <c r="P37" s="10">
        <f t="shared" si="18"/>
        <v>1.6002226038835943E-4</v>
      </c>
      <c r="Q37" s="10">
        <f t="shared" si="19"/>
        <v>1.0393552947789431E-3</v>
      </c>
      <c r="R37" s="10">
        <f t="shared" si="20"/>
        <v>29</v>
      </c>
      <c r="S37" s="10">
        <f t="shared" si="21"/>
        <v>4.2530620703473687E-5</v>
      </c>
      <c r="T37" s="10">
        <f t="shared" si="22"/>
        <v>1.2686507543548942E-3</v>
      </c>
      <c r="U37" s="10">
        <f t="shared" si="23"/>
        <v>31</v>
      </c>
      <c r="V37" s="10">
        <f t="shared" si="0"/>
        <v>1.3859396858606488E-4</v>
      </c>
      <c r="W37" s="10">
        <f t="shared" si="1"/>
        <v>3.7337145768105984E-3</v>
      </c>
      <c r="X37" s="10">
        <f t="shared" si="2"/>
        <v>18</v>
      </c>
      <c r="Y37" s="10">
        <f t="shared" si="3"/>
        <v>7.6224305666983128E-4</v>
      </c>
      <c r="Z37" s="10">
        <f t="shared" si="4"/>
        <v>3.25362803414464E-3</v>
      </c>
      <c r="AA37" s="10">
        <f t="shared" si="5"/>
        <v>4</v>
      </c>
      <c r="AB37" s="10">
        <f t="shared" si="6"/>
        <v>1.3859396858606488E-4</v>
      </c>
      <c r="AC37" s="10">
        <f t="shared" si="7"/>
        <v>3.7337145768105984E-3</v>
      </c>
      <c r="AD37" s="10">
        <f t="shared" si="8"/>
        <v>14</v>
      </c>
      <c r="AE37" t="s">
        <v>42</v>
      </c>
      <c r="AF37" s="10">
        <v>0</v>
      </c>
      <c r="AG37" s="10">
        <v>0</v>
      </c>
      <c r="AH37" s="10">
        <v>0</v>
      </c>
      <c r="AI37" s="10">
        <v>0</v>
      </c>
      <c r="AJ37" s="10">
        <v>0</v>
      </c>
      <c r="AK37" s="10">
        <v>0</v>
      </c>
      <c r="AL37" s="10">
        <v>0</v>
      </c>
      <c r="AM37" s="10">
        <v>0</v>
      </c>
      <c r="AN37" s="10">
        <v>0</v>
      </c>
      <c r="AO37" s="10">
        <v>0</v>
      </c>
      <c r="AP37" s="10">
        <v>0</v>
      </c>
      <c r="AQ37" s="10">
        <v>0</v>
      </c>
      <c r="AR37" s="10">
        <v>0</v>
      </c>
      <c r="AS37" s="10">
        <v>0</v>
      </c>
      <c r="AT37" s="10">
        <v>0</v>
      </c>
      <c r="AU37" s="10">
        <v>0</v>
      </c>
      <c r="AV37" s="10">
        <v>0</v>
      </c>
      <c r="AW37" s="10">
        <v>0</v>
      </c>
      <c r="AX37" s="10">
        <v>0</v>
      </c>
      <c r="AY37" s="10">
        <v>0</v>
      </c>
      <c r="AZ37" s="10">
        <v>0</v>
      </c>
      <c r="BA37" s="10">
        <v>0</v>
      </c>
      <c r="BB37" s="10">
        <v>0</v>
      </c>
      <c r="BC37" s="10">
        <v>0</v>
      </c>
      <c r="BD37" s="10">
        <v>0</v>
      </c>
      <c r="BE37" s="10">
        <v>0</v>
      </c>
      <c r="BF37" s="10">
        <v>0</v>
      </c>
      <c r="BG37" s="10">
        <v>0</v>
      </c>
      <c r="BH37" s="10">
        <v>0</v>
      </c>
      <c r="BI37" s="10">
        <v>0</v>
      </c>
      <c r="BJ37" s="10">
        <v>0</v>
      </c>
      <c r="BK37" s="10">
        <v>0</v>
      </c>
      <c r="BL37" s="10">
        <v>0</v>
      </c>
      <c r="BM37" s="10">
        <v>2.190897794207558E-4</v>
      </c>
      <c r="BN37" s="10">
        <v>5.2962644258514047E-4</v>
      </c>
      <c r="BO37" s="10">
        <v>7.5755221769213676E-4</v>
      </c>
      <c r="BP37" s="10">
        <v>1.829828106565401E-4</v>
      </c>
      <c r="BQ37" s="10">
        <v>3.0242986395023763E-4</v>
      </c>
      <c r="BR37" s="10">
        <v>2.9000334325246513E-4</v>
      </c>
      <c r="BS37" s="10">
        <v>3.7855503614991903E-4</v>
      </c>
      <c r="BT37" s="10">
        <v>4.6063362970016897E-4</v>
      </c>
      <c r="BU37" s="10">
        <v>5.2596506429836154E-4</v>
      </c>
      <c r="BV37" s="10">
        <v>5.3769780788570642E-4</v>
      </c>
      <c r="BW37" s="10">
        <v>5.4776464821770787E-4</v>
      </c>
      <c r="BX37" s="10">
        <v>6.098614539951086E-4</v>
      </c>
      <c r="BY37" s="10">
        <v>6.8246276350691915E-4</v>
      </c>
      <c r="BZ37" s="10">
        <v>1.6002226038835943E-4</v>
      </c>
      <c r="CA37" s="10">
        <v>4.6648769057355821E-4</v>
      </c>
      <c r="CB37" s="10">
        <v>4.7006571548990905E-4</v>
      </c>
      <c r="CC37" s="10">
        <v>6.3276459695771337E-4</v>
      </c>
      <c r="CD37" s="10">
        <v>6.7447428591549397E-4</v>
      </c>
      <c r="CE37" s="10">
        <v>6.4921722514554858E-4</v>
      </c>
      <c r="CF37" s="10">
        <v>6.6511408658698201E-4</v>
      </c>
      <c r="CG37" s="10">
        <v>7.3574011912569404E-4</v>
      </c>
      <c r="CH37" s="10">
        <v>7.0045300526544452E-4</v>
      </c>
      <c r="CI37" s="10">
        <v>8.2505185855552554E-4</v>
      </c>
      <c r="CJ37" s="10">
        <v>7.8054383629933E-4</v>
      </c>
      <c r="CK37" s="10">
        <v>8.2428724272176623E-4</v>
      </c>
      <c r="CL37" s="10">
        <v>1.0393552947789431E-3</v>
      </c>
      <c r="CM37" s="10">
        <v>9.8263961263000965E-4</v>
      </c>
      <c r="CN37" s="10">
        <v>9.6356339054182172E-4</v>
      </c>
      <c r="CO37" s="10">
        <v>8.3237019134685397E-4</v>
      </c>
      <c r="CP37" s="10">
        <v>1.4926254516467452E-4</v>
      </c>
      <c r="CQ37" s="10">
        <v>1.8684449605643749E-4</v>
      </c>
      <c r="CR37" s="10">
        <v>2.564860915299505E-4</v>
      </c>
      <c r="CS37" s="10">
        <v>3.1013062107376754E-4</v>
      </c>
      <c r="CT37" s="10">
        <v>3.8616821984760463E-4</v>
      </c>
      <c r="CU37" s="10">
        <v>4.4169308966957033E-4</v>
      </c>
      <c r="CV37" s="10">
        <v>4.7266439651139081E-4</v>
      </c>
      <c r="CW37" s="10">
        <v>5.3939467761665583E-4</v>
      </c>
      <c r="CX37" s="10">
        <v>6.0546811437234282E-4</v>
      </c>
      <c r="CY37" s="10">
        <v>5.7449896121397614E-4</v>
      </c>
      <c r="CZ37" s="10">
        <v>7.2231341619044542E-4</v>
      </c>
      <c r="DA37" s="10">
        <v>7.9335860209539533E-4</v>
      </c>
      <c r="DB37" s="10">
        <v>9.1308262199163437E-4</v>
      </c>
      <c r="DC37" s="10">
        <v>1.0267362231388688E-3</v>
      </c>
      <c r="DD37" s="10">
        <v>8.1465032417327166E-4</v>
      </c>
      <c r="DE37" s="10">
        <v>9.4346265541389585E-5</v>
      </c>
      <c r="DF37" s="10">
        <v>1.7413817113265395E-4</v>
      </c>
      <c r="DG37" s="10">
        <v>2.8966562240384519E-4</v>
      </c>
      <c r="DH37" s="10">
        <v>9.6984975971281528E-4</v>
      </c>
      <c r="DI37" s="10">
        <v>1.2241691583767533E-3</v>
      </c>
      <c r="DJ37" s="10">
        <v>1.1591974180191755E-3</v>
      </c>
      <c r="DK37" s="10">
        <v>1.2686507543548942E-3</v>
      </c>
      <c r="DL37" s="10">
        <v>1.1555458186194301E-3</v>
      </c>
      <c r="DM37" s="10">
        <v>4.2530620703473687E-5</v>
      </c>
      <c r="DN37" s="10">
        <v>7.9829587775748223E-5</v>
      </c>
      <c r="DO37" s="10">
        <v>6.4343832491431385E-5</v>
      </c>
      <c r="DP37" s="10">
        <v>1.2680928921326995E-4</v>
      </c>
      <c r="DQ37" s="10">
        <v>6.9375520979519933E-5</v>
      </c>
      <c r="DR37" s="10">
        <v>8.8687374955043197E-4</v>
      </c>
      <c r="DS37" s="10">
        <v>1.2038425775244832E-3</v>
      </c>
      <c r="DT37" s="10">
        <v>8.1763230264186859E-4</v>
      </c>
      <c r="DU37" s="10">
        <v>1.6547262202948332E-3</v>
      </c>
      <c r="DV37" s="10">
        <v>7.6224305666983128E-4</v>
      </c>
      <c r="DW37" s="10">
        <v>2.5870201643556356E-3</v>
      </c>
      <c r="DX37" s="10">
        <v>3.25362803414464E-3</v>
      </c>
      <c r="DY37" s="10">
        <v>1.3859396858606488E-4</v>
      </c>
      <c r="DZ37" s="10">
        <v>6.4145616488531232E-4</v>
      </c>
      <c r="EA37" s="10">
        <v>8.1880600191652775E-4</v>
      </c>
      <c r="EB37" s="10">
        <v>1.1307421373203397E-3</v>
      </c>
      <c r="EC37" s="10">
        <v>1.2556054862216115E-3</v>
      </c>
      <c r="ED37" s="10">
        <v>1.6258868854492903E-3</v>
      </c>
      <c r="EE37" s="10">
        <v>1.7864507390186191E-3</v>
      </c>
      <c r="EF37" s="10">
        <v>1.781320315785706E-3</v>
      </c>
      <c r="EG37" s="10">
        <v>2.4567104410380125E-3</v>
      </c>
      <c r="EH37" s="10">
        <v>3.0277427285909653E-3</v>
      </c>
      <c r="EI37" s="10">
        <v>2.8505853842943907E-3</v>
      </c>
      <c r="EJ37" s="10">
        <v>3.2529621385037899E-3</v>
      </c>
      <c r="EK37" s="10">
        <v>3.7337145768105984E-3</v>
      </c>
      <c r="EL37" s="10">
        <v>2.5282935239374638E-3</v>
      </c>
      <c r="EM37" s="10">
        <v>1.6997677448671311E-5</v>
      </c>
      <c r="EN37" s="10">
        <v>1.8386999727226794E-5</v>
      </c>
      <c r="EO37" s="10">
        <v>3.0160468668327667E-5</v>
      </c>
      <c r="EP37" s="10">
        <v>3.5725155612453818E-5</v>
      </c>
      <c r="EQ37" s="10">
        <v>7.5463525718078017E-5</v>
      </c>
      <c r="ER37" s="10">
        <v>1.8077123968396336E-5</v>
      </c>
      <c r="ES37" s="10">
        <v>6.0715148720191792E-5</v>
      </c>
      <c r="ET37" s="10">
        <v>1.8741897656582296E-4</v>
      </c>
      <c r="EU37" s="10">
        <v>2.3230862279888242E-4</v>
      </c>
      <c r="EV37" s="10">
        <v>1.8854002701118588E-4</v>
      </c>
      <c r="EW37" s="10">
        <v>2.4014643713599071E-5</v>
      </c>
      <c r="EX37" s="10">
        <v>8.497467206325382E-5</v>
      </c>
      <c r="EY37" s="10">
        <v>3.6412931513041258E-4</v>
      </c>
      <c r="EZ37" s="10">
        <v>5.0020404160022736E-4</v>
      </c>
      <c r="FA37" s="10">
        <v>1.2580498587340117E-3</v>
      </c>
      <c r="FB37" s="10">
        <v>3.0888859328115359E-5</v>
      </c>
      <c r="FC37" s="10">
        <v>2.0488144946284592E-4</v>
      </c>
      <c r="FD37" s="10">
        <v>7.3603930650278926E-4</v>
      </c>
      <c r="FE37" s="10">
        <v>1.0111341252923012E-3</v>
      </c>
      <c r="FF37" s="10">
        <v>1.3932555448263884E-3</v>
      </c>
      <c r="FG37" s="10">
        <v>7.8798264439683408E-5</v>
      </c>
      <c r="FH37" s="10">
        <v>4.0712309419177473E-4</v>
      </c>
      <c r="FI37" s="10">
        <v>9.8858913406729698E-4</v>
      </c>
      <c r="FJ37" s="10">
        <v>1.1974539374932647E-3</v>
      </c>
      <c r="FK37" s="10">
        <v>1.7510477919131517E-3</v>
      </c>
    </row>
    <row r="38" spans="3:167" x14ac:dyDescent="0.2">
      <c r="C38" s="10">
        <f t="shared" si="9"/>
        <v>0</v>
      </c>
      <c r="D38" s="10">
        <f t="shared" si="10"/>
        <v>34.414999999999999</v>
      </c>
      <c r="E38" s="10" cm="1">
        <f t="array" ref="E38">gavg(AF38,EL38)</f>
        <v>17.172813845538688</v>
      </c>
      <c r="F38" s="10" cm="1">
        <f t="array" ref="F38">lnstdev(AF38,EL38)</f>
        <v>0.69522376586574708</v>
      </c>
      <c r="G38" s="10">
        <f t="shared" si="11"/>
        <v>111</v>
      </c>
      <c r="H38" s="10">
        <f t="shared" si="12"/>
        <v>0</v>
      </c>
      <c r="I38" s="10">
        <f t="shared" si="13"/>
        <v>0</v>
      </c>
      <c r="J38" s="10"/>
      <c r="K38" s="10"/>
      <c r="L38" s="10">
        <f t="shared" si="14"/>
        <v>10</v>
      </c>
      <c r="M38" s="10">
        <f t="shared" si="15"/>
        <v>0</v>
      </c>
      <c r="N38" s="10">
        <f t="shared" si="16"/>
        <v>0</v>
      </c>
      <c r="O38" s="10">
        <f t="shared" si="17"/>
        <v>23</v>
      </c>
      <c r="P38" s="10">
        <f t="shared" si="18"/>
        <v>3.585</v>
      </c>
      <c r="Q38" s="10">
        <f t="shared" si="19"/>
        <v>34.414999999999999</v>
      </c>
      <c r="R38" s="10">
        <f t="shared" si="20"/>
        <v>29</v>
      </c>
      <c r="S38" s="10">
        <f t="shared" si="21"/>
        <v>4.9029999999999996</v>
      </c>
      <c r="T38" s="10">
        <f t="shared" si="22"/>
        <v>31.870999999999999</v>
      </c>
      <c r="U38" s="10">
        <f t="shared" si="23"/>
        <v>31</v>
      </c>
      <c r="V38" s="10">
        <f t="shared" si="0"/>
        <v>6.1289999999999996</v>
      </c>
      <c r="W38" s="10">
        <f t="shared" si="1"/>
        <v>31.870999999999999</v>
      </c>
      <c r="X38" s="10">
        <f t="shared" si="2"/>
        <v>18</v>
      </c>
      <c r="Y38" s="10">
        <f t="shared" si="3"/>
        <v>7.3550000000000004</v>
      </c>
      <c r="Z38" s="10">
        <f t="shared" si="4"/>
        <v>30.645</v>
      </c>
      <c r="AA38" s="10">
        <f t="shared" si="5"/>
        <v>4</v>
      </c>
      <c r="AB38" s="10">
        <f t="shared" si="6"/>
        <v>6.1289999999999996</v>
      </c>
      <c r="AC38" s="10">
        <f t="shared" si="7"/>
        <v>31.870999999999999</v>
      </c>
      <c r="AD38" s="10">
        <f t="shared" si="8"/>
        <v>14</v>
      </c>
      <c r="AE38" t="s">
        <v>43</v>
      </c>
      <c r="AF38" s="10">
        <v>0</v>
      </c>
      <c r="AG38" s="10">
        <v>0</v>
      </c>
      <c r="AH38" s="10">
        <v>0</v>
      </c>
      <c r="AI38" s="10">
        <v>0</v>
      </c>
      <c r="AJ38" s="10">
        <v>0</v>
      </c>
      <c r="AK38" s="10">
        <v>0</v>
      </c>
      <c r="AL38" s="10">
        <v>0</v>
      </c>
      <c r="AM38" s="10">
        <v>0</v>
      </c>
      <c r="AN38" s="10">
        <v>0</v>
      </c>
      <c r="AO38" s="10">
        <v>0</v>
      </c>
      <c r="AP38" s="10">
        <v>0</v>
      </c>
      <c r="AQ38" s="10">
        <v>0</v>
      </c>
      <c r="AR38" s="10">
        <v>0</v>
      </c>
      <c r="AS38" s="10">
        <v>0</v>
      </c>
      <c r="AT38" s="10">
        <v>0</v>
      </c>
      <c r="AU38" s="10">
        <v>0</v>
      </c>
      <c r="AV38" s="10">
        <v>0</v>
      </c>
      <c r="AW38" s="10">
        <v>0</v>
      </c>
      <c r="AX38" s="10">
        <v>0</v>
      </c>
      <c r="AY38" s="10">
        <v>0</v>
      </c>
      <c r="AZ38" s="10">
        <v>0</v>
      </c>
      <c r="BA38" s="10">
        <v>0</v>
      </c>
      <c r="BB38" s="10">
        <v>0</v>
      </c>
      <c r="BC38" s="10">
        <v>0</v>
      </c>
      <c r="BD38" s="10">
        <v>0</v>
      </c>
      <c r="BE38" s="10">
        <v>0</v>
      </c>
      <c r="BF38" s="10">
        <v>0</v>
      </c>
      <c r="BG38" s="10">
        <v>0</v>
      </c>
      <c r="BH38" s="10">
        <v>0</v>
      </c>
      <c r="BI38" s="10">
        <v>0</v>
      </c>
      <c r="BJ38" s="10">
        <v>0</v>
      </c>
      <c r="BK38" s="10">
        <v>0</v>
      </c>
      <c r="BL38" s="10">
        <v>0</v>
      </c>
      <c r="BM38" s="10">
        <v>3.585</v>
      </c>
      <c r="BN38" s="10">
        <v>30.83</v>
      </c>
      <c r="BO38" s="10">
        <v>15.057</v>
      </c>
      <c r="BP38" s="10">
        <v>4.3019999999999996</v>
      </c>
      <c r="BQ38" s="10">
        <v>34.414999999999999</v>
      </c>
      <c r="BR38" s="10">
        <v>3.585</v>
      </c>
      <c r="BS38" s="10">
        <v>7.17</v>
      </c>
      <c r="BT38" s="10">
        <v>28.678999999999998</v>
      </c>
      <c r="BU38" s="10">
        <v>32.981000000000002</v>
      </c>
      <c r="BV38" s="10">
        <v>30.113</v>
      </c>
      <c r="BW38" s="10">
        <v>10.755000000000001</v>
      </c>
      <c r="BX38" s="10">
        <v>11.472</v>
      </c>
      <c r="BY38" s="10">
        <v>32.981000000000002</v>
      </c>
      <c r="BZ38" s="10">
        <v>3.585</v>
      </c>
      <c r="CA38" s="10">
        <v>5.0190000000000001</v>
      </c>
      <c r="CB38" s="10">
        <v>32.981000000000002</v>
      </c>
      <c r="CC38" s="10">
        <v>11.472</v>
      </c>
      <c r="CD38" s="10">
        <v>33.698</v>
      </c>
      <c r="CE38" s="10">
        <v>10.038</v>
      </c>
      <c r="CF38" s="10">
        <v>3.585</v>
      </c>
      <c r="CG38" s="10">
        <v>29.396000000000001</v>
      </c>
      <c r="CH38" s="10">
        <v>20.074999999999999</v>
      </c>
      <c r="CI38" s="10">
        <v>32.981000000000002</v>
      </c>
      <c r="CJ38" s="10">
        <v>12.189</v>
      </c>
      <c r="CK38" s="10">
        <v>12.189</v>
      </c>
      <c r="CL38" s="10">
        <v>30.113</v>
      </c>
      <c r="CM38" s="10">
        <v>33.698</v>
      </c>
      <c r="CN38" s="10">
        <v>30.113</v>
      </c>
      <c r="CO38" s="10">
        <v>8.6039999999999992</v>
      </c>
      <c r="CP38" s="10">
        <v>12.257999999999999</v>
      </c>
      <c r="CQ38" s="10">
        <v>20.838999999999999</v>
      </c>
      <c r="CR38" s="10">
        <v>12.257999999999999</v>
      </c>
      <c r="CS38" s="10">
        <v>30.645</v>
      </c>
      <c r="CT38" s="10">
        <v>12.257999999999999</v>
      </c>
      <c r="CU38" s="10">
        <v>18.387</v>
      </c>
      <c r="CV38" s="10">
        <v>30.645</v>
      </c>
      <c r="CW38" s="10">
        <v>6.1289999999999996</v>
      </c>
      <c r="CX38" s="10">
        <v>31.870999999999999</v>
      </c>
      <c r="CY38" s="10">
        <v>31.870999999999999</v>
      </c>
      <c r="CZ38" s="10">
        <v>4.9029999999999996</v>
      </c>
      <c r="DA38" s="10">
        <v>4.9029999999999996</v>
      </c>
      <c r="DB38" s="10">
        <v>25.742000000000001</v>
      </c>
      <c r="DC38" s="10">
        <v>7.3550000000000004</v>
      </c>
      <c r="DD38" s="10">
        <v>20.838999999999999</v>
      </c>
      <c r="DE38" s="10">
        <v>8.5809999999999995</v>
      </c>
      <c r="DF38" s="10">
        <v>7.3550000000000004</v>
      </c>
      <c r="DG38" s="10">
        <v>25.742000000000001</v>
      </c>
      <c r="DH38" s="10">
        <v>23.29</v>
      </c>
      <c r="DI38" s="10">
        <v>30.645</v>
      </c>
      <c r="DJ38" s="10">
        <v>20.838999999999999</v>
      </c>
      <c r="DK38" s="10">
        <v>30.645</v>
      </c>
      <c r="DL38" s="10">
        <v>28.193999999999999</v>
      </c>
      <c r="DM38" s="10">
        <v>26.968</v>
      </c>
      <c r="DN38" s="10">
        <v>20.838999999999999</v>
      </c>
      <c r="DO38" s="10">
        <v>30.645</v>
      </c>
      <c r="DP38" s="10">
        <v>25.742000000000001</v>
      </c>
      <c r="DQ38" s="10">
        <v>25.742000000000001</v>
      </c>
      <c r="DR38" s="10">
        <v>31.870999999999999</v>
      </c>
      <c r="DS38" s="10">
        <v>28.193999999999999</v>
      </c>
      <c r="DT38" s="10">
        <v>18.387</v>
      </c>
      <c r="DU38" s="10">
        <v>25.742000000000001</v>
      </c>
      <c r="DV38" s="10">
        <v>7.3550000000000004</v>
      </c>
      <c r="DW38" s="10">
        <v>30.645</v>
      </c>
      <c r="DX38" s="10">
        <v>9.8059999999999992</v>
      </c>
      <c r="DY38" s="10">
        <v>31.870999999999999</v>
      </c>
      <c r="DZ38" s="10">
        <v>6.1289999999999996</v>
      </c>
      <c r="EA38" s="10">
        <v>11.032</v>
      </c>
      <c r="EB38" s="10">
        <v>23.29</v>
      </c>
      <c r="EC38" s="10">
        <v>24.515999999999998</v>
      </c>
      <c r="ED38" s="10">
        <v>29.419</v>
      </c>
      <c r="EE38" s="10">
        <v>14.71</v>
      </c>
      <c r="EF38" s="10">
        <v>12.257999999999999</v>
      </c>
      <c r="EG38" s="10">
        <v>31.870999999999999</v>
      </c>
      <c r="EH38" s="10">
        <v>30.645</v>
      </c>
      <c r="EI38" s="10">
        <v>26.968</v>
      </c>
      <c r="EJ38" s="10">
        <v>31.870999999999999</v>
      </c>
      <c r="EK38" s="10">
        <v>30.645</v>
      </c>
      <c r="EL38" s="10">
        <v>30.645</v>
      </c>
      <c r="EM38" s="10">
        <v>12.257999999999999</v>
      </c>
      <c r="EN38" s="10">
        <v>28.193999999999999</v>
      </c>
      <c r="EO38" s="10">
        <v>13.484</v>
      </c>
      <c r="EP38" s="10">
        <v>23.29</v>
      </c>
      <c r="EQ38" s="10">
        <v>6.1289999999999996</v>
      </c>
      <c r="ER38" s="10">
        <v>19.613</v>
      </c>
      <c r="ES38" s="10">
        <v>19.613</v>
      </c>
      <c r="ET38" s="10">
        <v>19.613</v>
      </c>
      <c r="EU38" s="10">
        <v>18.387</v>
      </c>
      <c r="EV38" s="10">
        <v>18.387</v>
      </c>
      <c r="EW38" s="10">
        <v>20.838999999999999</v>
      </c>
      <c r="EX38" s="10">
        <v>18.387</v>
      </c>
      <c r="EY38" s="10">
        <v>20.838999999999999</v>
      </c>
      <c r="EZ38" s="10">
        <v>23.29</v>
      </c>
      <c r="FA38" s="10">
        <v>9.8059999999999992</v>
      </c>
      <c r="FB38" s="10">
        <v>20.838999999999999</v>
      </c>
      <c r="FC38" s="10">
        <v>19.613</v>
      </c>
      <c r="FD38" s="10">
        <v>20.838999999999999</v>
      </c>
      <c r="FE38" s="10">
        <v>15.935</v>
      </c>
      <c r="FF38" s="10">
        <v>18.387</v>
      </c>
      <c r="FG38" s="10">
        <v>8.5809999999999995</v>
      </c>
      <c r="FH38" s="10">
        <v>30.645</v>
      </c>
      <c r="FI38" s="10">
        <v>22.065000000000001</v>
      </c>
      <c r="FJ38" s="10">
        <v>20.838999999999999</v>
      </c>
      <c r="FK38" s="10">
        <v>23.29</v>
      </c>
    </row>
    <row r="39" spans="3:167" x14ac:dyDescent="0.2">
      <c r="C39" s="10">
        <f t="shared" si="9"/>
        <v>2.1129181000000001E-6</v>
      </c>
      <c r="D39" s="10">
        <f t="shared" si="10"/>
        <v>1.3302362058311701E-3</v>
      </c>
      <c r="E39" s="10" cm="1">
        <f t="array" ref="E39">gavg(AF39,EL39)</f>
        <v>2.1400153391216276E-4</v>
      </c>
      <c r="F39" s="10" cm="1">
        <f t="array" ref="F39">lnstdev(AF39,EL39)</f>
        <v>1.1494760238685924</v>
      </c>
      <c r="G39" s="10">
        <f t="shared" si="11"/>
        <v>111</v>
      </c>
      <c r="H39" s="10">
        <f t="shared" si="12"/>
        <v>2.1129181000000001E-6</v>
      </c>
      <c r="I39" s="10">
        <f t="shared" si="13"/>
        <v>1.70326385E-4</v>
      </c>
      <c r="J39" s="10"/>
      <c r="K39" s="10"/>
      <c r="L39" s="10">
        <f t="shared" si="14"/>
        <v>10</v>
      </c>
      <c r="M39" s="10">
        <f t="shared" si="15"/>
        <v>1.7834539903560653E-5</v>
      </c>
      <c r="N39" s="10">
        <f t="shared" si="16"/>
        <v>7.5851724250242114E-4</v>
      </c>
      <c r="O39" s="10">
        <f t="shared" si="17"/>
        <v>23</v>
      </c>
      <c r="P39" s="10">
        <f t="shared" si="18"/>
        <v>6.5818057919386774E-5</v>
      </c>
      <c r="Q39" s="10">
        <f t="shared" si="19"/>
        <v>3.5451242001727223E-4</v>
      </c>
      <c r="R39" s="10">
        <f t="shared" si="20"/>
        <v>29</v>
      </c>
      <c r="S39" s="10">
        <f t="shared" si="21"/>
        <v>2.3008933567325585E-5</v>
      </c>
      <c r="T39" s="10">
        <f t="shared" si="22"/>
        <v>5.0797034054994583E-4</v>
      </c>
      <c r="U39" s="10">
        <f t="shared" si="23"/>
        <v>31</v>
      </c>
      <c r="V39" s="10">
        <f t="shared" si="0"/>
        <v>8.7901120423339307E-5</v>
      </c>
      <c r="W39" s="10">
        <f t="shared" si="1"/>
        <v>1.3302362058311701E-3</v>
      </c>
      <c r="X39" s="10">
        <f t="shared" si="2"/>
        <v>18</v>
      </c>
      <c r="Y39" s="10">
        <f t="shared" si="3"/>
        <v>2.5532423751428723E-4</v>
      </c>
      <c r="Z39" s="10">
        <f t="shared" si="4"/>
        <v>1.272638444788754E-3</v>
      </c>
      <c r="AA39" s="10">
        <f t="shared" si="5"/>
        <v>4</v>
      </c>
      <c r="AB39" s="10">
        <f t="shared" si="6"/>
        <v>8.7901120423339307E-5</v>
      </c>
      <c r="AC39" s="10">
        <f t="shared" si="7"/>
        <v>1.3302362058311701E-3</v>
      </c>
      <c r="AD39" s="10">
        <f t="shared" si="8"/>
        <v>14</v>
      </c>
      <c r="AE39" t="s">
        <v>44</v>
      </c>
      <c r="AF39" s="10">
        <v>2.3673719500000001E-6</v>
      </c>
      <c r="AG39" s="10">
        <v>2.1129181000000001E-6</v>
      </c>
      <c r="AH39" s="10">
        <v>4.7545708999999999E-5</v>
      </c>
      <c r="AI39" s="10">
        <v>1.0202614E-4</v>
      </c>
      <c r="AJ39" s="10">
        <v>1.2467186000000001E-4</v>
      </c>
      <c r="AK39" s="10">
        <v>1.31989E-4</v>
      </c>
      <c r="AL39" s="10">
        <v>1.4493036499999999E-4</v>
      </c>
      <c r="AM39" s="10">
        <v>1.70326385E-4</v>
      </c>
      <c r="AN39" s="10">
        <v>1.6843813E-4</v>
      </c>
      <c r="AO39" s="10">
        <v>1.62323935E-4</v>
      </c>
      <c r="AP39" s="10">
        <v>1.7834539903560653E-5</v>
      </c>
      <c r="AQ39" s="10">
        <v>2.7122921892441809E-5</v>
      </c>
      <c r="AR39" s="10">
        <v>7.3537426942493767E-5</v>
      </c>
      <c r="AS39" s="10">
        <v>1.2500213051680475E-4</v>
      </c>
      <c r="AT39" s="10">
        <v>2.026575239142403E-4</v>
      </c>
      <c r="AU39" s="10">
        <v>2.5228442973457277E-4</v>
      </c>
      <c r="AV39" s="10">
        <v>2.3737266019452363E-4</v>
      </c>
      <c r="AW39" s="10">
        <v>4.4817625894211233E-4</v>
      </c>
      <c r="AX39" s="10">
        <v>2.885066787712276E-4</v>
      </c>
      <c r="AY39" s="10">
        <v>4.4732904643751681E-4</v>
      </c>
      <c r="AZ39" s="10">
        <v>5.0683593144640326E-4</v>
      </c>
      <c r="BA39" s="10">
        <v>5.3081440273672342E-4</v>
      </c>
      <c r="BB39" s="10">
        <v>5.0301349256187677E-4</v>
      </c>
      <c r="BC39" s="10">
        <v>6.4686313271522522E-4</v>
      </c>
      <c r="BD39" s="10">
        <v>6.4679724164307117E-4</v>
      </c>
      <c r="BE39" s="10">
        <v>6.570956320501864E-4</v>
      </c>
      <c r="BF39" s="10">
        <v>5.3966487757861614E-4</v>
      </c>
      <c r="BG39" s="10">
        <v>7.5851724250242114E-4</v>
      </c>
      <c r="BH39" s="10">
        <v>6.3366454560309649E-4</v>
      </c>
      <c r="BI39" s="10">
        <v>2.2748072296963073E-5</v>
      </c>
      <c r="BJ39" s="10">
        <v>6.5334948885720223E-5</v>
      </c>
      <c r="BK39" s="10">
        <v>2.9417939003906213E-5</v>
      </c>
      <c r="BL39" s="10">
        <v>8.9403642050456256E-5</v>
      </c>
      <c r="BM39" s="10">
        <v>1.1302277562208474E-4</v>
      </c>
      <c r="BN39" s="10">
        <v>2.2220867685973644E-4</v>
      </c>
      <c r="BO39" s="10">
        <v>2.806078118737787E-4</v>
      </c>
      <c r="BP39" s="10">
        <v>6.5818057919386774E-5</v>
      </c>
      <c r="BQ39" s="10">
        <v>1.1511993216117844E-4</v>
      </c>
      <c r="BR39" s="10">
        <v>1.2170455738669261E-4</v>
      </c>
      <c r="BS39" s="10">
        <v>1.5035760588943958E-4</v>
      </c>
      <c r="BT39" s="10">
        <v>1.9594162586145103E-4</v>
      </c>
      <c r="BU39" s="10">
        <v>1.9107936532236636E-4</v>
      </c>
      <c r="BV39" s="10">
        <v>2.2516986064147204E-4</v>
      </c>
      <c r="BW39" s="10">
        <v>2.3914418125059456E-4</v>
      </c>
      <c r="BX39" s="10">
        <v>2.6269530644640326E-4</v>
      </c>
      <c r="BY39" s="10">
        <v>2.5969560374505818E-4</v>
      </c>
      <c r="BZ39" s="10">
        <v>6.7906083131674677E-5</v>
      </c>
      <c r="CA39" s="10">
        <v>2.0557429525069892E-4</v>
      </c>
      <c r="CB39" s="10">
        <v>1.9921195053029805E-4</v>
      </c>
      <c r="CC39" s="10">
        <v>2.4447543546557426E-4</v>
      </c>
      <c r="CD39" s="10">
        <v>2.6973627973347902E-4</v>
      </c>
      <c r="CE39" s="10">
        <v>2.495808876119554E-4</v>
      </c>
      <c r="CF39" s="10">
        <v>2.6743195485323668E-4</v>
      </c>
      <c r="CG39" s="10">
        <v>3.007065097335726E-4</v>
      </c>
      <c r="CH39" s="10">
        <v>2.8021956677548587E-4</v>
      </c>
      <c r="CI39" s="10">
        <v>3.2743514748290181E-4</v>
      </c>
      <c r="CJ39" s="10">
        <v>2.7474696980789304E-4</v>
      </c>
      <c r="CK39" s="10">
        <v>2.9287373763509095E-4</v>
      </c>
      <c r="CL39" s="10">
        <v>3.4468367812223732E-4</v>
      </c>
      <c r="CM39" s="10">
        <v>3.5451242001727223E-4</v>
      </c>
      <c r="CN39" s="10">
        <v>3.5060325171798468E-4</v>
      </c>
      <c r="CO39" s="10">
        <v>3.0667256214655936E-4</v>
      </c>
      <c r="CP39" s="10">
        <v>5.8116522268392146E-5</v>
      </c>
      <c r="CQ39" s="10">
        <v>1.0659820691216737E-4</v>
      </c>
      <c r="CR39" s="10">
        <v>1.1497011291794479E-4</v>
      </c>
      <c r="CS39" s="10">
        <v>1.8574221758171916E-4</v>
      </c>
      <c r="CT39" s="10">
        <v>1.6390405653510243E-4</v>
      </c>
      <c r="CU39" s="10">
        <v>1.9612589676398784E-4</v>
      </c>
      <c r="CV39" s="10">
        <v>2.0015114569105208E-4</v>
      </c>
      <c r="CW39" s="10">
        <v>2.8738295077346265E-4</v>
      </c>
      <c r="CX39" s="10">
        <v>3.0224048532545567E-4</v>
      </c>
      <c r="CY39" s="10">
        <v>2.6590286870487034E-4</v>
      </c>
      <c r="CZ39" s="10">
        <v>3.0281554791145027E-4</v>
      </c>
      <c r="DA39" s="10">
        <v>3.2597174867987633E-4</v>
      </c>
      <c r="DB39" s="10">
        <v>3.7694911588914692E-4</v>
      </c>
      <c r="DC39" s="10">
        <v>4.6852655941620469E-4</v>
      </c>
      <c r="DD39" s="10">
        <v>2.9216727125458419E-4</v>
      </c>
      <c r="DE39" s="10">
        <v>4.927087138639763E-5</v>
      </c>
      <c r="DF39" s="10">
        <v>7.4209638114552945E-5</v>
      </c>
      <c r="DG39" s="10">
        <v>1.2833968503400683E-4</v>
      </c>
      <c r="DH39" s="10">
        <v>4.2162340832874179E-4</v>
      </c>
      <c r="DI39" s="10">
        <v>4.8243196215480566E-4</v>
      </c>
      <c r="DJ39" s="10">
        <v>4.7539302613586187E-4</v>
      </c>
      <c r="DK39" s="10">
        <v>5.0797034054994583E-4</v>
      </c>
      <c r="DL39" s="10">
        <v>4.9490341916680336E-4</v>
      </c>
      <c r="DM39" s="10">
        <v>2.3008933567325585E-5</v>
      </c>
      <c r="DN39" s="10">
        <v>4.2214185668854043E-5</v>
      </c>
      <c r="DO39" s="10">
        <v>3.2221665605902672E-5</v>
      </c>
      <c r="DP39" s="10">
        <v>6.3337472965940833E-5</v>
      </c>
      <c r="DQ39" s="10">
        <v>3.4582164516905323E-5</v>
      </c>
      <c r="DR39" s="10">
        <v>4.215599037706852E-4</v>
      </c>
      <c r="DS39" s="10">
        <v>4.6821593423373997E-4</v>
      </c>
      <c r="DT39" s="10">
        <v>3.2988775637932122E-4</v>
      </c>
      <c r="DU39" s="10">
        <v>8.190703229047358E-4</v>
      </c>
      <c r="DV39" s="10">
        <v>2.5532423751428723E-4</v>
      </c>
      <c r="DW39" s="10">
        <v>1.0882343631237745E-3</v>
      </c>
      <c r="DX39" s="10">
        <v>1.272638444788754E-3</v>
      </c>
      <c r="DY39" s="10">
        <v>8.7901120423339307E-5</v>
      </c>
      <c r="DZ39" s="10">
        <v>2.6254868134856224E-4</v>
      </c>
      <c r="EA39" s="10">
        <v>3.4646334825083613E-4</v>
      </c>
      <c r="EB39" s="10">
        <v>4.9742526607587934E-4</v>
      </c>
      <c r="EC39" s="10">
        <v>4.9111794214695692E-4</v>
      </c>
      <c r="ED39" s="10">
        <v>7.0508418139070272E-4</v>
      </c>
      <c r="EE39" s="10">
        <v>7.5719441520050168E-4</v>
      </c>
      <c r="EF39" s="10">
        <v>7.5009051943197846E-4</v>
      </c>
      <c r="EG39" s="10">
        <v>1.109606702812016E-3</v>
      </c>
      <c r="EH39" s="10">
        <v>1.1251404648646712E-3</v>
      </c>
      <c r="EI39" s="10">
        <v>1.3302362058311701E-3</v>
      </c>
      <c r="EJ39" s="10">
        <v>1.2956869322806597E-3</v>
      </c>
      <c r="EK39" s="10">
        <v>1.2506429338827729E-3</v>
      </c>
      <c r="EL39" s="10">
        <v>1.002607517875731E-3</v>
      </c>
      <c r="EM39" s="10">
        <v>6.0465376918727998E-6</v>
      </c>
      <c r="EN39" s="10">
        <v>6.3715501710248645E-6</v>
      </c>
      <c r="EO39" s="10">
        <v>1.2144111678935587E-5</v>
      </c>
      <c r="EP39" s="10">
        <v>1.6499430785188451E-5</v>
      </c>
      <c r="EQ39" s="10">
        <v>2.4902012228267267E-5</v>
      </c>
      <c r="ER39" s="10">
        <v>7.3969044933619443E-6</v>
      </c>
      <c r="ES39" s="10">
        <v>2.5792440283112228E-5</v>
      </c>
      <c r="ET39" s="10">
        <v>7.5631171057466418E-5</v>
      </c>
      <c r="EU39" s="10">
        <v>1.0108832793775946E-4</v>
      </c>
      <c r="EV39" s="10">
        <v>1.0318860586266965E-4</v>
      </c>
      <c r="EW39" s="10">
        <v>1.1037102012778632E-5</v>
      </c>
      <c r="EX39" s="10">
        <v>3.987626769230701E-5</v>
      </c>
      <c r="EY39" s="10">
        <v>1.892380096251145E-4</v>
      </c>
      <c r="EZ39" s="10">
        <v>2.8315745294094086E-4</v>
      </c>
      <c r="FA39" s="10">
        <v>6.7138671875E-4</v>
      </c>
      <c r="FB39" s="10">
        <v>1.3892999959352892E-5</v>
      </c>
      <c r="FC39" s="10">
        <v>1.1811762669822201E-4</v>
      </c>
      <c r="FD39" s="10">
        <v>3.8649362977594137E-4</v>
      </c>
      <c r="FE39" s="10">
        <v>4.5393017353489995E-4</v>
      </c>
      <c r="FF39" s="10">
        <v>5.5567204253748059E-4</v>
      </c>
      <c r="FG39" s="10">
        <v>3.393759106984362E-5</v>
      </c>
      <c r="FH39" s="10">
        <v>1.9880950276274234E-4</v>
      </c>
      <c r="FI39" s="10">
        <v>7.9582718899473548E-4</v>
      </c>
      <c r="FJ39" s="10">
        <v>6.451186491176486E-4</v>
      </c>
      <c r="FK39" s="10">
        <v>1.0884638177230954E-3</v>
      </c>
    </row>
    <row r="40" spans="3:167" x14ac:dyDescent="0.2">
      <c r="C40" s="10">
        <f t="shared" si="9"/>
        <v>1.0700000524520874</v>
      </c>
      <c r="D40" s="10">
        <f t="shared" si="10"/>
        <v>33.698</v>
      </c>
      <c r="E40" s="10" cm="1">
        <f t="array" ref="E40">gavg(AF40,EL40)</f>
        <v>10.933011970034109</v>
      </c>
      <c r="F40" s="10" cm="1">
        <f t="array" ref="F40">lnstdev(AF40,EL40)</f>
        <v>0.94207514248440427</v>
      </c>
      <c r="G40" s="10">
        <f t="shared" si="11"/>
        <v>111</v>
      </c>
      <c r="H40" s="10">
        <f t="shared" si="12"/>
        <v>1.8740000000000001</v>
      </c>
      <c r="I40" s="10">
        <f t="shared" si="13"/>
        <v>9.4980001000000005</v>
      </c>
      <c r="J40" s="10"/>
      <c r="K40" s="10"/>
      <c r="L40" s="10">
        <f t="shared" si="14"/>
        <v>10</v>
      </c>
      <c r="M40" s="10">
        <f t="shared" si="15"/>
        <v>1.0700000524520874</v>
      </c>
      <c r="N40" s="10">
        <f t="shared" si="16"/>
        <v>9.0950002670288086</v>
      </c>
      <c r="O40" s="10">
        <f t="shared" si="17"/>
        <v>23</v>
      </c>
      <c r="P40" s="10">
        <f t="shared" si="18"/>
        <v>2.8679999999999999</v>
      </c>
      <c r="Q40" s="10">
        <f t="shared" si="19"/>
        <v>33.698</v>
      </c>
      <c r="R40" s="10">
        <f t="shared" si="20"/>
        <v>29</v>
      </c>
      <c r="S40" s="10">
        <f t="shared" si="21"/>
        <v>4.9029999999999996</v>
      </c>
      <c r="T40" s="10">
        <f t="shared" si="22"/>
        <v>31.870999999999999</v>
      </c>
      <c r="U40" s="10">
        <f t="shared" si="23"/>
        <v>31</v>
      </c>
      <c r="V40" s="10">
        <f t="shared" si="0"/>
        <v>4.9029999999999996</v>
      </c>
      <c r="W40" s="10">
        <f t="shared" si="1"/>
        <v>31.870999999999999</v>
      </c>
      <c r="X40" s="10">
        <f t="shared" si="2"/>
        <v>18</v>
      </c>
      <c r="Y40" s="10">
        <f t="shared" si="3"/>
        <v>20.838999999999999</v>
      </c>
      <c r="Z40" s="10">
        <f t="shared" si="4"/>
        <v>30.645</v>
      </c>
      <c r="AA40" s="10">
        <f t="shared" si="5"/>
        <v>4</v>
      </c>
      <c r="AB40" s="10">
        <f t="shared" si="6"/>
        <v>4.9029999999999996</v>
      </c>
      <c r="AC40" s="10">
        <f t="shared" si="7"/>
        <v>31.870999999999999</v>
      </c>
      <c r="AD40" s="10">
        <f t="shared" si="8"/>
        <v>14</v>
      </c>
      <c r="AE40" t="s">
        <v>45</v>
      </c>
      <c r="AF40" s="10">
        <v>2.8809999999999998</v>
      </c>
      <c r="AG40" s="10">
        <v>8.5930003999999993</v>
      </c>
      <c r="AH40" s="10">
        <v>8.5930003999999993</v>
      </c>
      <c r="AI40" s="10">
        <v>8.5930003999999993</v>
      </c>
      <c r="AJ40" s="10">
        <v>9.4980001000000005</v>
      </c>
      <c r="AK40" s="10">
        <v>9.4980001000000005</v>
      </c>
      <c r="AL40" s="10">
        <v>9.4980001000000005</v>
      </c>
      <c r="AM40" s="10">
        <v>9.4980001000000005</v>
      </c>
      <c r="AN40" s="10">
        <v>1.8740000000000001</v>
      </c>
      <c r="AO40" s="10">
        <v>5.9759998000000003</v>
      </c>
      <c r="AP40" s="10">
        <v>4.2800002098083496</v>
      </c>
      <c r="AQ40" s="10">
        <v>7.4899997711181641</v>
      </c>
      <c r="AR40" s="10">
        <v>2.1400001049041748</v>
      </c>
      <c r="AS40" s="10">
        <v>1.0700000524520874</v>
      </c>
      <c r="AT40" s="10">
        <v>7.4899997711181641</v>
      </c>
      <c r="AU40" s="10">
        <v>1.0700000524520874</v>
      </c>
      <c r="AV40" s="10">
        <v>3.2100000381469727</v>
      </c>
      <c r="AW40" s="10">
        <v>9.0950002670288086</v>
      </c>
      <c r="AX40" s="10">
        <v>5.3499999046325684</v>
      </c>
      <c r="AY40" s="10">
        <v>5.3499999046325684</v>
      </c>
      <c r="AZ40" s="10">
        <v>5.8850002288818359</v>
      </c>
      <c r="BA40" s="10">
        <v>9.0950002670288086</v>
      </c>
      <c r="BB40" s="10">
        <v>7.4899997711181641</v>
      </c>
      <c r="BC40" s="10">
        <v>2.1400001049041748</v>
      </c>
      <c r="BD40" s="10">
        <v>7.4899997711181641</v>
      </c>
      <c r="BE40" s="10">
        <v>3.744999885559082</v>
      </c>
      <c r="BF40" s="10">
        <v>4.815000057220459</v>
      </c>
      <c r="BG40" s="10">
        <v>9.0950002670288086</v>
      </c>
      <c r="BH40" s="10">
        <v>5.8850002288818359</v>
      </c>
      <c r="BI40" s="10">
        <v>5.3499999046325684</v>
      </c>
      <c r="BJ40" s="10">
        <v>2.1400001049041748</v>
      </c>
      <c r="BK40" s="10">
        <v>7.4899997711181641</v>
      </c>
      <c r="BL40" s="10">
        <v>2.1400001049041748</v>
      </c>
      <c r="BM40" s="10">
        <v>3.585</v>
      </c>
      <c r="BN40" s="10">
        <v>32.981000000000002</v>
      </c>
      <c r="BO40" s="10">
        <v>7.8869999999999996</v>
      </c>
      <c r="BP40" s="10">
        <v>4.3019999999999996</v>
      </c>
      <c r="BQ40" s="10">
        <v>32.981000000000002</v>
      </c>
      <c r="BR40" s="10">
        <v>3.585</v>
      </c>
      <c r="BS40" s="10">
        <v>5.0190000000000001</v>
      </c>
      <c r="BT40" s="10">
        <v>28.678999999999998</v>
      </c>
      <c r="BU40" s="10">
        <v>32.981000000000002</v>
      </c>
      <c r="BV40" s="10">
        <v>32.981000000000002</v>
      </c>
      <c r="BW40" s="10">
        <v>2.8679999999999999</v>
      </c>
      <c r="BX40" s="10">
        <v>2.8679999999999999</v>
      </c>
      <c r="BY40" s="10">
        <v>33.698</v>
      </c>
      <c r="BZ40" s="10">
        <v>3.585</v>
      </c>
      <c r="CA40" s="10">
        <v>5.0190000000000001</v>
      </c>
      <c r="CB40" s="10">
        <v>32.981000000000002</v>
      </c>
      <c r="CC40" s="10">
        <v>2.8679999999999999</v>
      </c>
      <c r="CD40" s="10">
        <v>33.698</v>
      </c>
      <c r="CE40" s="10">
        <v>5.0190000000000001</v>
      </c>
      <c r="CF40" s="10">
        <v>5.0190000000000001</v>
      </c>
      <c r="CG40" s="10">
        <v>32.981000000000002</v>
      </c>
      <c r="CH40" s="10">
        <v>5.0190000000000001</v>
      </c>
      <c r="CI40" s="10">
        <v>32.981000000000002</v>
      </c>
      <c r="CJ40" s="10">
        <v>7.8869999999999996</v>
      </c>
      <c r="CK40" s="10">
        <v>7.8869999999999996</v>
      </c>
      <c r="CL40" s="10">
        <v>32.981000000000002</v>
      </c>
      <c r="CM40" s="10">
        <v>32.981000000000002</v>
      </c>
      <c r="CN40" s="10">
        <v>32.981000000000002</v>
      </c>
      <c r="CO40" s="10">
        <v>32.981000000000002</v>
      </c>
      <c r="CP40" s="10">
        <v>4.9029999999999996</v>
      </c>
      <c r="CQ40" s="10">
        <v>20.838999999999999</v>
      </c>
      <c r="CR40" s="10">
        <v>12.257999999999999</v>
      </c>
      <c r="CS40" s="10">
        <v>31.870999999999999</v>
      </c>
      <c r="CT40" s="10">
        <v>6.1289999999999996</v>
      </c>
      <c r="CU40" s="10">
        <v>18.387</v>
      </c>
      <c r="CV40" s="10">
        <v>31.870999999999999</v>
      </c>
      <c r="CW40" s="10">
        <v>26.968</v>
      </c>
      <c r="CX40" s="10">
        <v>31.870999999999999</v>
      </c>
      <c r="CY40" s="10">
        <v>30.645</v>
      </c>
      <c r="CZ40" s="10">
        <v>9.8059999999999992</v>
      </c>
      <c r="DA40" s="10">
        <v>11.032</v>
      </c>
      <c r="DB40" s="10">
        <v>28.193999999999999</v>
      </c>
      <c r="DC40" s="10">
        <v>8.5809999999999995</v>
      </c>
      <c r="DD40" s="10">
        <v>26.968</v>
      </c>
      <c r="DE40" s="10">
        <v>4.9029999999999996</v>
      </c>
      <c r="DF40" s="10">
        <v>4.9029999999999996</v>
      </c>
      <c r="DG40" s="10">
        <v>23.29</v>
      </c>
      <c r="DH40" s="10">
        <v>31.870999999999999</v>
      </c>
      <c r="DI40" s="10">
        <v>30.645</v>
      </c>
      <c r="DJ40" s="10">
        <v>8.5809999999999995</v>
      </c>
      <c r="DK40" s="10">
        <v>30.645</v>
      </c>
      <c r="DL40" s="10">
        <v>19.613</v>
      </c>
      <c r="DM40" s="10">
        <v>6.1289999999999996</v>
      </c>
      <c r="DN40" s="10">
        <v>4.9029999999999996</v>
      </c>
      <c r="DO40" s="10">
        <v>30.645</v>
      </c>
      <c r="DP40" s="10">
        <v>25.742000000000001</v>
      </c>
      <c r="DQ40" s="10">
        <v>28.193999999999999</v>
      </c>
      <c r="DR40" s="10">
        <v>6.1289999999999996</v>
      </c>
      <c r="DS40" s="10">
        <v>18.387</v>
      </c>
      <c r="DT40" s="10">
        <v>23.29</v>
      </c>
      <c r="DU40" s="10">
        <v>20.838999999999999</v>
      </c>
      <c r="DV40" s="10">
        <v>30.645</v>
      </c>
      <c r="DW40" s="10">
        <v>30.645</v>
      </c>
      <c r="DX40" s="10">
        <v>23.29</v>
      </c>
      <c r="DY40" s="10">
        <v>30.645</v>
      </c>
      <c r="DZ40" s="10">
        <v>30.645</v>
      </c>
      <c r="EA40" s="10">
        <v>4.9029999999999996</v>
      </c>
      <c r="EB40" s="10">
        <v>24.515999999999998</v>
      </c>
      <c r="EC40" s="10">
        <v>9.8059999999999992</v>
      </c>
      <c r="ED40" s="10">
        <v>29.419</v>
      </c>
      <c r="EE40" s="10">
        <v>17.161000000000001</v>
      </c>
      <c r="EF40" s="10">
        <v>7.3550000000000004</v>
      </c>
      <c r="EG40" s="10">
        <v>31.870999999999999</v>
      </c>
      <c r="EH40" s="10">
        <v>30.645</v>
      </c>
      <c r="EI40" s="10">
        <v>26.968</v>
      </c>
      <c r="EJ40" s="10">
        <v>31.870999999999999</v>
      </c>
      <c r="EK40" s="10">
        <v>30.645</v>
      </c>
      <c r="EL40" s="10">
        <v>28.193999999999999</v>
      </c>
      <c r="EM40" s="10">
        <v>30.645</v>
      </c>
      <c r="EN40" s="10">
        <v>28.193999999999999</v>
      </c>
      <c r="EO40" s="10">
        <v>22.065000000000001</v>
      </c>
      <c r="EP40" s="10">
        <v>6.1289999999999996</v>
      </c>
      <c r="EQ40" s="10">
        <v>6.1289999999999996</v>
      </c>
      <c r="ER40" s="10">
        <v>18.387</v>
      </c>
      <c r="ES40" s="10">
        <v>19.613</v>
      </c>
      <c r="ET40" s="10">
        <v>19.613</v>
      </c>
      <c r="EU40" s="10">
        <v>18.387</v>
      </c>
      <c r="EV40" s="10">
        <v>19.613</v>
      </c>
      <c r="EW40" s="10">
        <v>20.838999999999999</v>
      </c>
      <c r="EX40" s="10">
        <v>18.387</v>
      </c>
      <c r="EY40" s="10">
        <v>18.387</v>
      </c>
      <c r="EZ40" s="10">
        <v>19.613</v>
      </c>
      <c r="FA40" s="10">
        <v>23.29</v>
      </c>
      <c r="FB40" s="10">
        <v>18.387</v>
      </c>
      <c r="FC40" s="10">
        <v>30.645</v>
      </c>
      <c r="FD40" s="10">
        <v>20.838999999999999</v>
      </c>
      <c r="FE40" s="10">
        <v>13.484</v>
      </c>
      <c r="FF40" s="10">
        <v>13.484</v>
      </c>
      <c r="FG40" s="10">
        <v>8.5809999999999995</v>
      </c>
      <c r="FH40" s="10">
        <v>30.645</v>
      </c>
      <c r="FI40" s="10">
        <v>18.387</v>
      </c>
      <c r="FJ40" s="10">
        <v>19.613</v>
      </c>
      <c r="FK40" s="10">
        <v>20.838999999999999</v>
      </c>
    </row>
    <row r="41" spans="3:167" x14ac:dyDescent="0.2">
      <c r="C41" s="10">
        <f t="shared" si="9"/>
        <v>0</v>
      </c>
      <c r="D41" s="10">
        <f t="shared" si="10"/>
        <v>2.8137755580246449E-3</v>
      </c>
      <c r="E41" s="10" cm="1">
        <f t="array" ref="E41">gavg(AF41,EL41)</f>
        <v>5.6503881567308162E-4</v>
      </c>
      <c r="F41" s="10" cm="1">
        <f t="array" ref="F41">lnstdev(AF41,EL41)</f>
        <v>0.99820928881424009</v>
      </c>
      <c r="G41" s="10">
        <f t="shared" si="11"/>
        <v>111</v>
      </c>
      <c r="H41" s="10">
        <f t="shared" si="12"/>
        <v>0</v>
      </c>
      <c r="I41" s="10">
        <f t="shared" si="13"/>
        <v>0</v>
      </c>
      <c r="J41" s="10"/>
      <c r="K41" s="10"/>
      <c r="L41" s="10">
        <f t="shared" si="14"/>
        <v>10</v>
      </c>
      <c r="M41" s="10">
        <f t="shared" si="15"/>
        <v>0</v>
      </c>
      <c r="N41" s="10">
        <f t="shared" si="16"/>
        <v>0</v>
      </c>
      <c r="O41" s="10">
        <f t="shared" si="17"/>
        <v>23</v>
      </c>
      <c r="P41" s="10">
        <f t="shared" si="18"/>
        <v>1.284871541429311E-4</v>
      </c>
      <c r="Q41" s="10">
        <f t="shared" si="19"/>
        <v>1.1048390297219157E-3</v>
      </c>
      <c r="R41" s="10">
        <f t="shared" si="20"/>
        <v>29</v>
      </c>
      <c r="S41" s="10">
        <f t="shared" si="21"/>
        <v>3.5422886867308989E-5</v>
      </c>
      <c r="T41" s="10">
        <f t="shared" si="22"/>
        <v>1.2890307698398829E-3</v>
      </c>
      <c r="U41" s="10">
        <f t="shared" si="23"/>
        <v>31</v>
      </c>
      <c r="V41" s="10">
        <f t="shared" si="0"/>
        <v>1.0441304766573012E-4</v>
      </c>
      <c r="W41" s="10">
        <f t="shared" si="1"/>
        <v>2.8137755580246449E-3</v>
      </c>
      <c r="X41" s="10">
        <f t="shared" si="2"/>
        <v>18</v>
      </c>
      <c r="Y41" s="10">
        <f t="shared" si="3"/>
        <v>5.0395895959809422E-4</v>
      </c>
      <c r="Z41" s="10">
        <f t="shared" si="4"/>
        <v>2.6022703386843204E-3</v>
      </c>
      <c r="AA41" s="10">
        <f t="shared" si="5"/>
        <v>4</v>
      </c>
      <c r="AB41" s="10">
        <f t="shared" si="6"/>
        <v>1.0441304766573012E-4</v>
      </c>
      <c r="AC41" s="10">
        <f t="shared" si="7"/>
        <v>2.8137755580246449E-3</v>
      </c>
      <c r="AD41" s="10">
        <f t="shared" si="8"/>
        <v>14</v>
      </c>
      <c r="AE41" t="s">
        <v>46</v>
      </c>
      <c r="AF41" s="10">
        <v>0</v>
      </c>
      <c r="AG41" s="10">
        <v>0</v>
      </c>
      <c r="AH41" s="10">
        <v>0</v>
      </c>
      <c r="AI41" s="10">
        <v>0</v>
      </c>
      <c r="AJ41" s="10">
        <v>0</v>
      </c>
      <c r="AK41" s="10">
        <v>0</v>
      </c>
      <c r="AL41" s="10">
        <v>0</v>
      </c>
      <c r="AM41" s="10">
        <v>0</v>
      </c>
      <c r="AN41" s="10">
        <v>0</v>
      </c>
      <c r="AO41" s="10">
        <v>0</v>
      </c>
      <c r="AP41" s="10">
        <v>0</v>
      </c>
      <c r="AQ41" s="10">
        <v>0</v>
      </c>
      <c r="AR41" s="10">
        <v>0</v>
      </c>
      <c r="AS41" s="10">
        <v>0</v>
      </c>
      <c r="AT41" s="10">
        <v>0</v>
      </c>
      <c r="AU41" s="10">
        <v>0</v>
      </c>
      <c r="AV41" s="10">
        <v>0</v>
      </c>
      <c r="AW41" s="10">
        <v>0</v>
      </c>
      <c r="AX41" s="10">
        <v>0</v>
      </c>
      <c r="AY41" s="10">
        <v>0</v>
      </c>
      <c r="AZ41" s="10">
        <v>0</v>
      </c>
      <c r="BA41" s="10">
        <v>0</v>
      </c>
      <c r="BB41" s="10">
        <v>0</v>
      </c>
      <c r="BC41" s="10">
        <v>0</v>
      </c>
      <c r="BD41" s="10">
        <v>0</v>
      </c>
      <c r="BE41" s="10">
        <v>0</v>
      </c>
      <c r="BF41" s="10">
        <v>0</v>
      </c>
      <c r="BG41" s="10">
        <v>0</v>
      </c>
      <c r="BH41" s="10">
        <v>0</v>
      </c>
      <c r="BI41" s="10">
        <v>0</v>
      </c>
      <c r="BJ41" s="10">
        <v>0</v>
      </c>
      <c r="BK41" s="10">
        <v>0</v>
      </c>
      <c r="BL41" s="10">
        <v>0</v>
      </c>
      <c r="BM41" s="10">
        <v>1.9646447617560625E-4</v>
      </c>
      <c r="BN41" s="10">
        <v>4.8657230217941105E-4</v>
      </c>
      <c r="BO41" s="10">
        <v>8.6248951265588403E-4</v>
      </c>
      <c r="BP41" s="10">
        <v>1.5807402087375522E-4</v>
      </c>
      <c r="BQ41" s="10">
        <v>2.9297472792677581E-4</v>
      </c>
      <c r="BR41" s="10">
        <v>2.8445661882869899E-4</v>
      </c>
      <c r="BS41" s="10">
        <v>3.7608813727274537E-4</v>
      </c>
      <c r="BT41" s="10">
        <v>4.4927699491381645E-4</v>
      </c>
      <c r="BU41" s="10">
        <v>5.4180721053853631E-4</v>
      </c>
      <c r="BV41" s="10">
        <v>5.4890953470021486E-4</v>
      </c>
      <c r="BW41" s="10">
        <v>6.7419855622574687E-4</v>
      </c>
      <c r="BX41" s="10">
        <v>6.9510325556620955E-4</v>
      </c>
      <c r="BY41" s="10">
        <v>6.6263385815545917E-4</v>
      </c>
      <c r="BZ41" s="10">
        <v>1.284871541429311E-4</v>
      </c>
      <c r="CA41" s="10">
        <v>4.7148845624178648E-4</v>
      </c>
      <c r="CB41" s="10">
        <v>4.507694102358073E-4</v>
      </c>
      <c r="CC41" s="10">
        <v>6.8723643198609352E-4</v>
      </c>
      <c r="CD41" s="10">
        <v>7.4070709524676204E-4</v>
      </c>
      <c r="CE41" s="10">
        <v>8.4209989290684462E-4</v>
      </c>
      <c r="CF41" s="10">
        <v>8.1552594201639295E-4</v>
      </c>
      <c r="CG41" s="10">
        <v>7.8947388101369143E-4</v>
      </c>
      <c r="CH41" s="10">
        <v>9.5937377773225307E-4</v>
      </c>
      <c r="CI41" s="10">
        <v>9.8357710521668196E-4</v>
      </c>
      <c r="CJ41" s="10">
        <v>1.1048390297219157E-3</v>
      </c>
      <c r="CK41" s="10">
        <v>1.004763413220644E-3</v>
      </c>
      <c r="CL41" s="10">
        <v>9.6220959676429629E-4</v>
      </c>
      <c r="CM41" s="10">
        <v>1.0967885609716177E-3</v>
      </c>
      <c r="CN41" s="10">
        <v>9.7793550230562687E-4</v>
      </c>
      <c r="CO41" s="10">
        <v>1.0222556302323937E-3</v>
      </c>
      <c r="CP41" s="10">
        <v>1.3767664495389909E-4</v>
      </c>
      <c r="CQ41" s="10">
        <v>1.4485996507573873E-4</v>
      </c>
      <c r="CR41" s="10">
        <v>1.739450526656583E-4</v>
      </c>
      <c r="CS41" s="10">
        <v>2.283658686792478E-4</v>
      </c>
      <c r="CT41" s="10">
        <v>3.5923469113186002E-4</v>
      </c>
      <c r="CU41" s="10">
        <v>3.3291426370851696E-4</v>
      </c>
      <c r="CV41" s="10">
        <v>3.8756523281335831E-4</v>
      </c>
      <c r="CW41" s="10">
        <v>4.3365961755625904E-4</v>
      </c>
      <c r="CX41" s="10">
        <v>6.4236961770802736E-4</v>
      </c>
      <c r="CY41" s="10">
        <v>5.9400568716228008E-4</v>
      </c>
      <c r="CZ41" s="10">
        <v>7.2251656092703342E-4</v>
      </c>
      <c r="DA41" s="10">
        <v>6.9791101850569248E-4</v>
      </c>
      <c r="DB41" s="10">
        <v>6.7329703597351909E-4</v>
      </c>
      <c r="DC41" s="10">
        <v>8.9207611745223403E-4</v>
      </c>
      <c r="DD41" s="10">
        <v>7.1464298525825143E-4</v>
      </c>
      <c r="DE41" s="10">
        <v>7.4526331445667893E-5</v>
      </c>
      <c r="DF41" s="10">
        <v>1.2749698362313211E-4</v>
      </c>
      <c r="DG41" s="10">
        <v>2.3945527209434658E-4</v>
      </c>
      <c r="DH41" s="10">
        <v>8.279695175588131E-4</v>
      </c>
      <c r="DI41" s="10">
        <v>1.1608402710407972E-3</v>
      </c>
      <c r="DJ41" s="10">
        <v>1.0553468018770218E-3</v>
      </c>
      <c r="DK41" s="10">
        <v>1.2890307698398829E-3</v>
      </c>
      <c r="DL41" s="10">
        <v>1.0725547326728702E-3</v>
      </c>
      <c r="DM41" s="10">
        <v>3.5422886867308989E-5</v>
      </c>
      <c r="DN41" s="10">
        <v>7.3317991336807609E-5</v>
      </c>
      <c r="DO41" s="10">
        <v>4.7197121602948755E-5</v>
      </c>
      <c r="DP41" s="10">
        <v>1.0128237772732973E-4</v>
      </c>
      <c r="DQ41" s="10">
        <v>6.911795207997784E-5</v>
      </c>
      <c r="DR41" s="10">
        <v>9.7275362350046635E-4</v>
      </c>
      <c r="DS41" s="10">
        <v>1.170812756754458E-3</v>
      </c>
      <c r="DT41" s="10">
        <v>5.8451684890314937E-4</v>
      </c>
      <c r="DU41" s="10">
        <v>1.7482020193710923E-3</v>
      </c>
      <c r="DV41" s="10">
        <v>5.0395895959809422E-4</v>
      </c>
      <c r="DW41" s="10">
        <v>2.3778937757015228E-3</v>
      </c>
      <c r="DX41" s="10">
        <v>2.6022703386843204E-3</v>
      </c>
      <c r="DY41" s="10">
        <v>1.0441304766573012E-4</v>
      </c>
      <c r="DZ41" s="10">
        <v>5.1614758558571339E-4</v>
      </c>
      <c r="EA41" s="10">
        <v>7.9127232311293483E-4</v>
      </c>
      <c r="EB41" s="10">
        <v>1.0867355158552527E-3</v>
      </c>
      <c r="EC41" s="10">
        <v>1.1548107722774148E-3</v>
      </c>
      <c r="ED41" s="10">
        <v>1.163003034889698E-3</v>
      </c>
      <c r="EE41" s="10">
        <v>1.3896531891077757E-3</v>
      </c>
      <c r="EF41" s="10">
        <v>1.7105168662965298E-3</v>
      </c>
      <c r="EG41" s="10">
        <v>1.9135631155222654E-3</v>
      </c>
      <c r="EH41" s="10">
        <v>2.8137755580246449E-3</v>
      </c>
      <c r="EI41" s="10">
        <v>2.0749596878886223E-3</v>
      </c>
      <c r="EJ41" s="10">
        <v>2.5801872834563255E-3</v>
      </c>
      <c r="EK41" s="10">
        <v>2.5654544588178396E-3</v>
      </c>
      <c r="EL41" s="10">
        <v>2.2754324600100517E-3</v>
      </c>
      <c r="EM41" s="10">
        <v>1.6395670172641985E-5</v>
      </c>
      <c r="EN41" s="10">
        <v>1.9496650565997697E-5</v>
      </c>
      <c r="EO41" s="10">
        <v>2.0728894014609978E-5</v>
      </c>
      <c r="EP41" s="10">
        <v>2.4908296836656518E-5</v>
      </c>
      <c r="EQ41" s="10">
        <v>3.4013464755844325E-5</v>
      </c>
      <c r="ER41" s="10">
        <v>1.4143628504825756E-5</v>
      </c>
      <c r="ES41" s="10">
        <v>2.1711346562369727E-5</v>
      </c>
      <c r="ET41" s="10">
        <v>6.9451794843189418E-5</v>
      </c>
      <c r="EU41" s="10">
        <v>8.5377840150613338E-5</v>
      </c>
      <c r="EV41" s="10">
        <v>6.8638772063422948E-5</v>
      </c>
      <c r="EW41" s="10">
        <v>1.8039994756691158E-5</v>
      </c>
      <c r="EX41" s="10">
        <v>2.8803106033592485E-5</v>
      </c>
      <c r="EY41" s="10">
        <v>1.468589180149138E-4</v>
      </c>
      <c r="EZ41" s="10">
        <v>1.8969952361658216E-4</v>
      </c>
      <c r="FA41" s="10">
        <v>7.6604419155046344E-4</v>
      </c>
      <c r="FB41" s="10">
        <v>1.4120262676442508E-5</v>
      </c>
      <c r="FC41" s="10">
        <v>1.1663417535601184E-4</v>
      </c>
      <c r="FD41" s="10">
        <v>3.4306329325772822E-4</v>
      </c>
      <c r="FE41" s="10">
        <v>5.675159627571702E-4</v>
      </c>
      <c r="FF41" s="10">
        <v>6.7245506215840578E-4</v>
      </c>
      <c r="FG41" s="10">
        <v>3.338635724503547E-5</v>
      </c>
      <c r="FH41" s="10">
        <v>2.3321423213928938E-4</v>
      </c>
      <c r="FI41" s="10">
        <v>5.5820500710979104E-4</v>
      </c>
      <c r="FJ41" s="10">
        <v>7.1899540489539504E-4</v>
      </c>
      <c r="FK41" s="10">
        <v>1.2655206955969334E-3</v>
      </c>
    </row>
    <row r="42" spans="3:167" x14ac:dyDescent="0.2">
      <c r="C42" s="10">
        <f t="shared" si="9"/>
        <v>0</v>
      </c>
      <c r="D42" s="10">
        <f t="shared" si="10"/>
        <v>34.414999999999999</v>
      </c>
      <c r="E42" s="10" cm="1">
        <f t="array" ref="E42">gavg(AF42,EL42)</f>
        <v>15.030840331258856</v>
      </c>
      <c r="F42" s="10" cm="1">
        <f t="array" ref="F42">lnstdev(AF42,EL42)</f>
        <v>0.76148761177130608</v>
      </c>
      <c r="G42" s="10">
        <f t="shared" si="11"/>
        <v>111</v>
      </c>
      <c r="H42" s="10">
        <f t="shared" si="12"/>
        <v>0</v>
      </c>
      <c r="I42" s="10">
        <f t="shared" si="13"/>
        <v>0</v>
      </c>
      <c r="J42" s="10"/>
      <c r="K42" s="10"/>
      <c r="L42" s="10">
        <f t="shared" si="14"/>
        <v>10</v>
      </c>
      <c r="M42" s="10">
        <f t="shared" si="15"/>
        <v>0</v>
      </c>
      <c r="N42" s="10">
        <f t="shared" si="16"/>
        <v>0</v>
      </c>
      <c r="O42" s="10">
        <f t="shared" si="17"/>
        <v>23</v>
      </c>
      <c r="P42" s="10">
        <f t="shared" si="18"/>
        <v>2.8679999999999999</v>
      </c>
      <c r="Q42" s="10">
        <f t="shared" si="19"/>
        <v>34.414999999999999</v>
      </c>
      <c r="R42" s="10">
        <f t="shared" si="20"/>
        <v>29</v>
      </c>
      <c r="S42" s="10">
        <f t="shared" si="21"/>
        <v>4.9029999999999996</v>
      </c>
      <c r="T42" s="10">
        <f t="shared" si="22"/>
        <v>31.870999999999999</v>
      </c>
      <c r="U42" s="10">
        <f t="shared" si="23"/>
        <v>31</v>
      </c>
      <c r="V42" s="10">
        <f t="shared" si="0"/>
        <v>8.5809999999999995</v>
      </c>
      <c r="W42" s="10">
        <f t="shared" si="1"/>
        <v>31.870999999999999</v>
      </c>
      <c r="X42" s="10">
        <f t="shared" si="2"/>
        <v>18</v>
      </c>
      <c r="Y42" s="10">
        <f t="shared" si="3"/>
        <v>8.5809999999999995</v>
      </c>
      <c r="Z42" s="10">
        <f t="shared" si="4"/>
        <v>30.645</v>
      </c>
      <c r="AA42" s="10">
        <f t="shared" si="5"/>
        <v>4</v>
      </c>
      <c r="AB42" s="10">
        <f t="shared" si="6"/>
        <v>8.5809999999999995</v>
      </c>
      <c r="AC42" s="10">
        <f t="shared" si="7"/>
        <v>31.870999999999999</v>
      </c>
      <c r="AD42" s="10">
        <f t="shared" si="8"/>
        <v>14</v>
      </c>
      <c r="AE42" t="s">
        <v>47</v>
      </c>
      <c r="AF42" s="10">
        <v>0</v>
      </c>
      <c r="AG42" s="10">
        <v>0</v>
      </c>
      <c r="AH42" s="10">
        <v>0</v>
      </c>
      <c r="AI42" s="10">
        <v>0</v>
      </c>
      <c r="AJ42" s="10">
        <v>0</v>
      </c>
      <c r="AK42" s="10">
        <v>0</v>
      </c>
      <c r="AL42" s="10">
        <v>0</v>
      </c>
      <c r="AM42" s="10">
        <v>0</v>
      </c>
      <c r="AN42" s="10">
        <v>0</v>
      </c>
      <c r="AO42" s="10">
        <v>0</v>
      </c>
      <c r="AP42" s="10">
        <v>0</v>
      </c>
      <c r="AQ42" s="10">
        <v>0</v>
      </c>
      <c r="AR42" s="10">
        <v>0</v>
      </c>
      <c r="AS42" s="10">
        <v>0</v>
      </c>
      <c r="AT42" s="10">
        <v>0</v>
      </c>
      <c r="AU42" s="10">
        <v>0</v>
      </c>
      <c r="AV42" s="10">
        <v>0</v>
      </c>
      <c r="AW42" s="10">
        <v>0</v>
      </c>
      <c r="AX42" s="10">
        <v>0</v>
      </c>
      <c r="AY42" s="10">
        <v>0</v>
      </c>
      <c r="AZ42" s="10">
        <v>0</v>
      </c>
      <c r="BA42" s="10">
        <v>0</v>
      </c>
      <c r="BB42" s="10">
        <v>0</v>
      </c>
      <c r="BC42" s="10">
        <v>0</v>
      </c>
      <c r="BD42" s="10">
        <v>0</v>
      </c>
      <c r="BE42" s="10">
        <v>0</v>
      </c>
      <c r="BF42" s="10">
        <v>0</v>
      </c>
      <c r="BG42" s="10">
        <v>0</v>
      </c>
      <c r="BH42" s="10">
        <v>0</v>
      </c>
      <c r="BI42" s="10">
        <v>0</v>
      </c>
      <c r="BJ42" s="10">
        <v>0</v>
      </c>
      <c r="BK42" s="10">
        <v>0</v>
      </c>
      <c r="BL42" s="10">
        <v>0</v>
      </c>
      <c r="BM42" s="10">
        <v>34.414999999999999</v>
      </c>
      <c r="BN42" s="10">
        <v>31.547000000000001</v>
      </c>
      <c r="BO42" s="10">
        <v>12.189</v>
      </c>
      <c r="BP42" s="10">
        <v>5.0190000000000001</v>
      </c>
      <c r="BQ42" s="10">
        <v>33.698</v>
      </c>
      <c r="BR42" s="10">
        <v>32.981000000000002</v>
      </c>
      <c r="BS42" s="10">
        <v>3.585</v>
      </c>
      <c r="BT42" s="10">
        <v>34.414999999999999</v>
      </c>
      <c r="BU42" s="10">
        <v>34.414999999999999</v>
      </c>
      <c r="BV42" s="10">
        <v>34.414999999999999</v>
      </c>
      <c r="BW42" s="10">
        <v>12.189</v>
      </c>
      <c r="BX42" s="10">
        <v>4.3019999999999996</v>
      </c>
      <c r="BY42" s="10">
        <v>27.962</v>
      </c>
      <c r="BZ42" s="10">
        <v>4.3019999999999996</v>
      </c>
      <c r="CA42" s="10">
        <v>4.3019999999999996</v>
      </c>
      <c r="CB42" s="10">
        <v>34.414999999999999</v>
      </c>
      <c r="CC42" s="10">
        <v>14.34</v>
      </c>
      <c r="CD42" s="10">
        <v>33.698</v>
      </c>
      <c r="CE42" s="10">
        <v>2.8679999999999999</v>
      </c>
      <c r="CF42" s="10">
        <v>3.585</v>
      </c>
      <c r="CG42" s="10">
        <v>28.678999999999998</v>
      </c>
      <c r="CH42" s="10">
        <v>8.6039999999999992</v>
      </c>
      <c r="CI42" s="10">
        <v>10.038</v>
      </c>
      <c r="CJ42" s="10">
        <v>8.6039999999999992</v>
      </c>
      <c r="CK42" s="10">
        <v>8.6039999999999992</v>
      </c>
      <c r="CL42" s="10">
        <v>6.4530000000000003</v>
      </c>
      <c r="CM42" s="10">
        <v>7.17</v>
      </c>
      <c r="CN42" s="10">
        <v>16.491</v>
      </c>
      <c r="CO42" s="10">
        <v>2.8679999999999999</v>
      </c>
      <c r="CP42" s="10">
        <v>8.5809999999999995</v>
      </c>
      <c r="CQ42" s="10">
        <v>18.387</v>
      </c>
      <c r="CR42" s="10">
        <v>12.257999999999999</v>
      </c>
      <c r="CS42" s="10">
        <v>18.387</v>
      </c>
      <c r="CT42" s="10">
        <v>6.1289999999999996</v>
      </c>
      <c r="CU42" s="10">
        <v>26.968</v>
      </c>
      <c r="CV42" s="10">
        <v>11.032</v>
      </c>
      <c r="CW42" s="10">
        <v>6.1289999999999996</v>
      </c>
      <c r="CX42" s="10">
        <v>30.645</v>
      </c>
      <c r="CY42" s="10">
        <v>7.3550000000000004</v>
      </c>
      <c r="CZ42" s="10">
        <v>8.5809999999999995</v>
      </c>
      <c r="DA42" s="10">
        <v>30.645</v>
      </c>
      <c r="DB42" s="10">
        <v>31.870999999999999</v>
      </c>
      <c r="DC42" s="10">
        <v>8.5809999999999995</v>
      </c>
      <c r="DD42" s="10">
        <v>18.387</v>
      </c>
      <c r="DE42" s="10">
        <v>28.193999999999999</v>
      </c>
      <c r="DF42" s="10">
        <v>6.1289999999999996</v>
      </c>
      <c r="DG42" s="10">
        <v>30.645</v>
      </c>
      <c r="DH42" s="10">
        <v>30.645</v>
      </c>
      <c r="DI42" s="10">
        <v>6.1289999999999996</v>
      </c>
      <c r="DJ42" s="10">
        <v>6.1289999999999996</v>
      </c>
      <c r="DK42" s="10">
        <v>14.71</v>
      </c>
      <c r="DL42" s="10">
        <v>20.838999999999999</v>
      </c>
      <c r="DM42" s="10">
        <v>25.742000000000001</v>
      </c>
      <c r="DN42" s="10">
        <v>20.838999999999999</v>
      </c>
      <c r="DO42" s="10">
        <v>25.742000000000001</v>
      </c>
      <c r="DP42" s="10">
        <v>4.9029999999999996</v>
      </c>
      <c r="DQ42" s="10">
        <v>28.193999999999999</v>
      </c>
      <c r="DR42" s="10">
        <v>4.9029999999999996</v>
      </c>
      <c r="DS42" s="10">
        <v>30.645</v>
      </c>
      <c r="DT42" s="10">
        <v>25.742000000000001</v>
      </c>
      <c r="DU42" s="10">
        <v>23.29</v>
      </c>
      <c r="DV42" s="10">
        <v>8.5809999999999995</v>
      </c>
      <c r="DW42" s="10">
        <v>30.645</v>
      </c>
      <c r="DX42" s="10">
        <v>30.645</v>
      </c>
      <c r="DY42" s="10">
        <v>30.645</v>
      </c>
      <c r="DZ42" s="10">
        <v>28.193999999999999</v>
      </c>
      <c r="EA42" s="10">
        <v>8.5809999999999995</v>
      </c>
      <c r="EB42" s="10">
        <v>20.838999999999999</v>
      </c>
      <c r="EC42" s="10">
        <v>29.419</v>
      </c>
      <c r="ED42" s="10">
        <v>29.419</v>
      </c>
      <c r="EE42" s="10">
        <v>14.71</v>
      </c>
      <c r="EF42" s="10">
        <v>31.870999999999999</v>
      </c>
      <c r="EG42" s="10">
        <v>25.742000000000001</v>
      </c>
      <c r="EH42" s="10">
        <v>28.193999999999999</v>
      </c>
      <c r="EI42" s="10">
        <v>25.742000000000001</v>
      </c>
      <c r="EJ42" s="10">
        <v>29.419</v>
      </c>
      <c r="EK42" s="10">
        <v>30.645</v>
      </c>
      <c r="EL42" s="10">
        <v>9.8059999999999992</v>
      </c>
      <c r="EM42" s="10">
        <v>30.645</v>
      </c>
      <c r="EN42" s="10">
        <v>13.484</v>
      </c>
      <c r="EO42" s="10">
        <v>28.193999999999999</v>
      </c>
      <c r="EP42" s="10">
        <v>4.9029999999999996</v>
      </c>
      <c r="EQ42" s="10">
        <v>30.645</v>
      </c>
      <c r="ER42" s="10">
        <v>30.645</v>
      </c>
      <c r="ES42" s="10">
        <v>7.3550000000000004</v>
      </c>
      <c r="ET42" s="10">
        <v>19.613</v>
      </c>
      <c r="EU42" s="10">
        <v>18.387</v>
      </c>
      <c r="EV42" s="10">
        <v>19.613</v>
      </c>
      <c r="EW42" s="10">
        <v>30.645</v>
      </c>
      <c r="EX42" s="10">
        <v>17.161000000000001</v>
      </c>
      <c r="EY42" s="10">
        <v>15.935</v>
      </c>
      <c r="EZ42" s="10">
        <v>20.838999999999999</v>
      </c>
      <c r="FA42" s="10">
        <v>15.935</v>
      </c>
      <c r="FB42" s="10">
        <v>30.645</v>
      </c>
      <c r="FC42" s="10">
        <v>18.387</v>
      </c>
      <c r="FD42" s="10">
        <v>25.742000000000001</v>
      </c>
      <c r="FE42" s="10">
        <v>13.484</v>
      </c>
      <c r="FF42" s="10">
        <v>14.71</v>
      </c>
      <c r="FG42" s="10">
        <v>12.257999999999999</v>
      </c>
      <c r="FH42" s="10">
        <v>12.257999999999999</v>
      </c>
      <c r="FI42" s="10">
        <v>8.5809999999999995</v>
      </c>
      <c r="FJ42" s="10">
        <v>12.257999999999999</v>
      </c>
      <c r="FK42" s="10">
        <v>18.387</v>
      </c>
    </row>
    <row r="43" spans="3:167" x14ac:dyDescent="0.2">
      <c r="C43" s="10">
        <f t="shared" si="9"/>
        <v>1.09555865E-5</v>
      </c>
      <c r="D43" s="10">
        <f t="shared" si="10"/>
        <v>1.0135447373613715E-3</v>
      </c>
      <c r="E43" s="10" cm="1">
        <f t="array" ref="E43">gavg(AF43,EL43)</f>
        <v>1.7418895204089849E-4</v>
      </c>
      <c r="F43" s="10" cm="1">
        <f t="array" ref="F43">lnstdev(AF43,EL43)</f>
        <v>1.0265742750902147</v>
      </c>
      <c r="G43" s="10">
        <f t="shared" si="11"/>
        <v>111</v>
      </c>
      <c r="H43" s="10">
        <f t="shared" si="12"/>
        <v>1.09555865E-5</v>
      </c>
      <c r="I43" s="10">
        <f t="shared" si="13"/>
        <v>1.2437264500000001E-4</v>
      </c>
      <c r="J43" s="10"/>
      <c r="K43" s="10"/>
      <c r="L43" s="10">
        <f t="shared" si="14"/>
        <v>10</v>
      </c>
      <c r="M43" s="10">
        <f t="shared" si="15"/>
        <v>1.7129485058831051E-5</v>
      </c>
      <c r="N43" s="10">
        <f t="shared" si="16"/>
        <v>4.5473672798834741E-4</v>
      </c>
      <c r="O43" s="10">
        <f t="shared" si="17"/>
        <v>23</v>
      </c>
      <c r="P43" s="10">
        <f t="shared" si="18"/>
        <v>5.685795986209996E-5</v>
      </c>
      <c r="Q43" s="10">
        <f t="shared" si="19"/>
        <v>3.5254043177701533E-4</v>
      </c>
      <c r="R43" s="10">
        <f t="shared" si="20"/>
        <v>29</v>
      </c>
      <c r="S43" s="10">
        <f t="shared" si="21"/>
        <v>1.8905098841059953E-5</v>
      </c>
      <c r="T43" s="10">
        <f t="shared" si="22"/>
        <v>4.7077398630790412E-4</v>
      </c>
      <c r="U43" s="10">
        <f t="shared" si="23"/>
        <v>31</v>
      </c>
      <c r="V43" s="10">
        <f t="shared" si="0"/>
        <v>5.300488555803895E-5</v>
      </c>
      <c r="W43" s="10">
        <f t="shared" si="1"/>
        <v>1.0135447373613715E-3</v>
      </c>
      <c r="X43" s="10">
        <f t="shared" si="2"/>
        <v>18</v>
      </c>
      <c r="Y43" s="10">
        <f t="shared" si="3"/>
        <v>1.9613126642070711E-4</v>
      </c>
      <c r="Z43" s="10">
        <f t="shared" si="4"/>
        <v>9.6654612571001053E-4</v>
      </c>
      <c r="AA43" s="10">
        <f t="shared" si="5"/>
        <v>4</v>
      </c>
      <c r="AB43" s="10">
        <f t="shared" si="6"/>
        <v>5.300488555803895E-5</v>
      </c>
      <c r="AC43" s="10">
        <f t="shared" si="7"/>
        <v>1.0135447373613715E-3</v>
      </c>
      <c r="AD43" s="10">
        <f t="shared" si="8"/>
        <v>14</v>
      </c>
      <c r="AE43" t="s">
        <v>48</v>
      </c>
      <c r="AF43" s="10">
        <v>1.09555865E-5</v>
      </c>
      <c r="AG43" s="10">
        <v>1.7657208500000001E-5</v>
      </c>
      <c r="AH43" s="10">
        <v>4.2285712E-5</v>
      </c>
      <c r="AI43" s="10">
        <v>4.933944E-5</v>
      </c>
      <c r="AJ43" s="10">
        <v>7.4162889999999994E-5</v>
      </c>
      <c r="AK43" s="10">
        <v>1.18695905E-4</v>
      </c>
      <c r="AL43" s="10">
        <v>1.0941601E-4</v>
      </c>
      <c r="AM43" s="10">
        <v>1.22648765E-4</v>
      </c>
      <c r="AN43" s="10">
        <v>1.0488999999999999E-4</v>
      </c>
      <c r="AO43" s="10">
        <v>1.2437264500000001E-4</v>
      </c>
      <c r="AP43" s="10">
        <v>1.7129485058831051E-5</v>
      </c>
      <c r="AQ43" s="10">
        <v>3.4713280911091715E-5</v>
      </c>
      <c r="AR43" s="10">
        <v>4.2389681766508147E-5</v>
      </c>
      <c r="AS43" s="10">
        <v>7.3207549576181918E-5</v>
      </c>
      <c r="AT43" s="10">
        <v>9.9643897556234151E-5</v>
      </c>
      <c r="AU43" s="10">
        <v>1.0159998782910407E-4</v>
      </c>
      <c r="AV43" s="10">
        <v>1.5613500727340579E-4</v>
      </c>
      <c r="AW43" s="10">
        <v>1.6056430467870086E-4</v>
      </c>
      <c r="AX43" s="10">
        <v>2.897231315728277E-4</v>
      </c>
      <c r="AY43" s="10">
        <v>2.1374337666202337E-4</v>
      </c>
      <c r="AZ43" s="10">
        <v>1.6364523617085069E-4</v>
      </c>
      <c r="BA43" s="10">
        <v>2.238506858702749E-4</v>
      </c>
      <c r="BB43" s="10">
        <v>2.5329095660708845E-4</v>
      </c>
      <c r="BC43" s="10">
        <v>2.4611226399429142E-4</v>
      </c>
      <c r="BD43" s="10">
        <v>4.4253055239096284E-4</v>
      </c>
      <c r="BE43" s="10">
        <v>3.9115140680223703E-4</v>
      </c>
      <c r="BF43" s="10">
        <v>4.5473672798834741E-4</v>
      </c>
      <c r="BG43" s="10">
        <v>2.4390511680394411E-4</v>
      </c>
      <c r="BH43" s="10">
        <v>3.9508403278887272E-4</v>
      </c>
      <c r="BI43" s="10">
        <v>2.5431339963688515E-5</v>
      </c>
      <c r="BJ43" s="10">
        <v>3.9997878047870472E-5</v>
      </c>
      <c r="BK43" s="10">
        <v>3.5866098187398165E-5</v>
      </c>
      <c r="BL43" s="10">
        <v>5.9269135817885399E-5</v>
      </c>
      <c r="BM43" s="10">
        <v>8.5423780546989292E-5</v>
      </c>
      <c r="BN43" s="10">
        <v>2.1637073950842023E-4</v>
      </c>
      <c r="BO43" s="10">
        <v>3.0315181356854737E-4</v>
      </c>
      <c r="BP43" s="10">
        <v>5.685795986209996E-5</v>
      </c>
      <c r="BQ43" s="10">
        <v>1.0704721353249624E-4</v>
      </c>
      <c r="BR43" s="10">
        <v>1.025894089252688E-4</v>
      </c>
      <c r="BS43" s="10">
        <v>1.2930581578984857E-4</v>
      </c>
      <c r="BT43" s="10">
        <v>2.0058632071595639E-4</v>
      </c>
      <c r="BU43" s="10">
        <v>1.8242330406792462E-4</v>
      </c>
      <c r="BV43" s="10">
        <v>2.0753618446178734E-4</v>
      </c>
      <c r="BW43" s="10">
        <v>2.2942687792237848E-4</v>
      </c>
      <c r="BX43" s="10">
        <v>2.4327659048140049E-4</v>
      </c>
      <c r="BY43" s="10">
        <v>2.5622817338444293E-4</v>
      </c>
      <c r="BZ43" s="10">
        <v>5.7661345636006445E-5</v>
      </c>
      <c r="CA43" s="10">
        <v>2.0089709141757339E-4</v>
      </c>
      <c r="CB43" s="10">
        <v>1.7237185966223478E-4</v>
      </c>
      <c r="CC43" s="10">
        <v>2.657315053511411E-4</v>
      </c>
      <c r="CD43" s="10">
        <v>2.6529229944571853E-4</v>
      </c>
      <c r="CE43" s="10">
        <v>2.7687792317010462E-4</v>
      </c>
      <c r="CF43" s="10">
        <v>2.9080593958497047E-4</v>
      </c>
      <c r="CG43" s="10">
        <v>2.9370005358941853E-4</v>
      </c>
      <c r="CH43" s="10">
        <v>3.1384924659505486E-4</v>
      </c>
      <c r="CI43" s="10">
        <v>3.0343470280058682E-4</v>
      </c>
      <c r="CJ43" s="10">
        <v>3.2278243452310562E-4</v>
      </c>
      <c r="CK43" s="10">
        <v>3.5254043177701533E-4</v>
      </c>
      <c r="CL43" s="10">
        <v>3.1893109553493559E-4</v>
      </c>
      <c r="CM43" s="10">
        <v>3.4227169817313552E-4</v>
      </c>
      <c r="CN43" s="10">
        <v>3.4265185240656137E-4</v>
      </c>
      <c r="CO43" s="10">
        <v>3.4952760324813426E-4</v>
      </c>
      <c r="CP43" s="10">
        <v>4.857938620261848E-5</v>
      </c>
      <c r="CQ43" s="10">
        <v>7.0274480094667524E-5</v>
      </c>
      <c r="CR43" s="10">
        <v>7.0996378781273961E-5</v>
      </c>
      <c r="CS43" s="10">
        <v>1.4400994405150414E-4</v>
      </c>
      <c r="CT43" s="10">
        <v>1.2760117533616722E-4</v>
      </c>
      <c r="CU43" s="10">
        <v>1.3652768393512815E-4</v>
      </c>
      <c r="CV43" s="10">
        <v>1.2852891813963652E-4</v>
      </c>
      <c r="CW43" s="10">
        <v>2.2426169016398489E-4</v>
      </c>
      <c r="CX43" s="10">
        <v>2.5650125462561846E-4</v>
      </c>
      <c r="CY43" s="10">
        <v>2.1395875955931842E-4</v>
      </c>
      <c r="CZ43" s="10">
        <v>2.5891439872793853E-4</v>
      </c>
      <c r="DA43" s="10">
        <v>2.8812570963054895E-4</v>
      </c>
      <c r="DB43" s="10">
        <v>2.9680668376386166E-4</v>
      </c>
      <c r="DC43" s="10">
        <v>3.7454781704582274E-4</v>
      </c>
      <c r="DD43" s="10">
        <v>2.448814339004457E-4</v>
      </c>
      <c r="DE43" s="10">
        <v>3.381180067663081E-5</v>
      </c>
      <c r="DF43" s="10">
        <v>5.8938723668688908E-5</v>
      </c>
      <c r="DG43" s="10">
        <v>1.2664939276874065E-4</v>
      </c>
      <c r="DH43" s="10">
        <v>3.7681541289202869E-4</v>
      </c>
      <c r="DI43" s="10">
        <v>3.7778093246743083E-4</v>
      </c>
      <c r="DJ43" s="10">
        <v>4.7077398630790412E-4</v>
      </c>
      <c r="DK43" s="10">
        <v>4.348117217887193E-4</v>
      </c>
      <c r="DL43" s="10">
        <v>4.4694740790873766E-4</v>
      </c>
      <c r="DM43" s="10">
        <v>1.8905098841059953E-5</v>
      </c>
      <c r="DN43" s="10">
        <v>3.4276890801265836E-5</v>
      </c>
      <c r="DO43" s="10">
        <v>2.1911080693826079E-5</v>
      </c>
      <c r="DP43" s="10">
        <v>4.2268919060006738E-5</v>
      </c>
      <c r="DQ43" s="10">
        <v>2.6166640964220278E-5</v>
      </c>
      <c r="DR43" s="10">
        <v>4.0130643174052238E-4</v>
      </c>
      <c r="DS43" s="10">
        <v>4.1331982356496155E-4</v>
      </c>
      <c r="DT43" s="10">
        <v>2.4299770302604884E-4</v>
      </c>
      <c r="DU43" s="10">
        <v>6.0243089683353901E-4</v>
      </c>
      <c r="DV43" s="10">
        <v>1.9613126642070711E-4</v>
      </c>
      <c r="DW43" s="10">
        <v>9.3343685148283839E-4</v>
      </c>
      <c r="DX43" s="10">
        <v>9.6654612571001053E-4</v>
      </c>
      <c r="DY43" s="10">
        <v>5.300488555803895E-5</v>
      </c>
      <c r="DZ43" s="10">
        <v>1.945040567079559E-4</v>
      </c>
      <c r="EA43" s="10">
        <v>2.9454377363435924E-4</v>
      </c>
      <c r="EB43" s="10">
        <v>4.5156566193327308E-4</v>
      </c>
      <c r="EC43" s="10">
        <v>4.524360119830817E-4</v>
      </c>
      <c r="ED43" s="10">
        <v>5.2732805488631129E-4</v>
      </c>
      <c r="EE43" s="10">
        <v>5.9472827706485987E-4</v>
      </c>
      <c r="EF43" s="10">
        <v>6.2499410705640912E-4</v>
      </c>
      <c r="EG43" s="10">
        <v>8.8158983271569014E-4</v>
      </c>
      <c r="EH43" s="10">
        <v>9.4837916549295187E-4</v>
      </c>
      <c r="EI43" s="10">
        <v>1.0135447373613715E-3</v>
      </c>
      <c r="EJ43" s="10">
        <v>9.9865091033279896E-4</v>
      </c>
      <c r="EK43" s="10">
        <v>9.8699855152517557E-4</v>
      </c>
      <c r="EL43" s="10">
        <v>8.2244537770748138E-4</v>
      </c>
      <c r="EM43" s="10">
        <v>4.652101324609248E-6</v>
      </c>
      <c r="EN43" s="10">
        <v>8.6525133156101219E-6</v>
      </c>
      <c r="EO43" s="10">
        <v>8.5252204371499829E-6</v>
      </c>
      <c r="EP43" s="10">
        <v>1.1883827937708702E-5</v>
      </c>
      <c r="EQ43" s="10">
        <v>1.7718777598929591E-5</v>
      </c>
      <c r="ER43" s="10">
        <v>4.7428197831322905E-6</v>
      </c>
      <c r="ES43" s="10">
        <v>7.8217435657279566E-6</v>
      </c>
      <c r="ET43" s="10">
        <v>2.7905363822355866E-5</v>
      </c>
      <c r="EU43" s="10">
        <v>2.7248266633250751E-5</v>
      </c>
      <c r="EV43" s="10">
        <v>2.8290765840210952E-5</v>
      </c>
      <c r="EW43" s="10">
        <v>5.3040648708702065E-6</v>
      </c>
      <c r="EX43" s="10">
        <v>9.7990732683683746E-6</v>
      </c>
      <c r="EY43" s="10">
        <v>5.0252670916961506E-5</v>
      </c>
      <c r="EZ43" s="10">
        <v>7.4929623224306852E-5</v>
      </c>
      <c r="FA43" s="10">
        <v>2.642911858856678E-4</v>
      </c>
      <c r="FB43" s="10">
        <v>4.7920548240654171E-6</v>
      </c>
      <c r="FC43" s="10">
        <v>4.3487187213031575E-5</v>
      </c>
      <c r="FD43" s="10">
        <v>1.4137024118099362E-4</v>
      </c>
      <c r="FE43" s="10">
        <v>1.8816340889316052E-4</v>
      </c>
      <c r="FF43" s="10">
        <v>2.9463160899467766E-4</v>
      </c>
      <c r="FG43" s="10">
        <v>8.4961511674919166E-6</v>
      </c>
      <c r="FH43" s="10">
        <v>9.7254313004668802E-5</v>
      </c>
      <c r="FI43" s="10">
        <v>2.4480107822455466E-4</v>
      </c>
      <c r="FJ43" s="10">
        <v>3.0002318089827895E-4</v>
      </c>
      <c r="FK43" s="10">
        <v>5.6536711053922772E-4</v>
      </c>
    </row>
    <row r="44" spans="3:167" x14ac:dyDescent="0.2">
      <c r="C44" s="10">
        <f t="shared" si="9"/>
        <v>1.0700000524520874</v>
      </c>
      <c r="D44" s="10">
        <f t="shared" si="10"/>
        <v>34.414999999999999</v>
      </c>
      <c r="E44" s="10" cm="1">
        <f t="array" ref="E44">gavg(AF44,EL44)</f>
        <v>9.9728929599026603</v>
      </c>
      <c r="F44" s="10" cm="1">
        <f t="array" ref="F44">lnstdev(AF44,EL44)</f>
        <v>1.0145660656673763</v>
      </c>
      <c r="G44" s="10">
        <f t="shared" si="11"/>
        <v>111</v>
      </c>
      <c r="H44" s="10">
        <f t="shared" si="12"/>
        <v>1.8740000000000001</v>
      </c>
      <c r="I44" s="10">
        <f t="shared" si="13"/>
        <v>9.4980001000000005</v>
      </c>
      <c r="J44" s="10"/>
      <c r="K44" s="10"/>
      <c r="L44" s="10">
        <f t="shared" si="14"/>
        <v>10</v>
      </c>
      <c r="M44" s="10">
        <f t="shared" si="15"/>
        <v>1.0700000524520874</v>
      </c>
      <c r="N44" s="10">
        <f t="shared" si="16"/>
        <v>9.0950002670288086</v>
      </c>
      <c r="O44" s="10">
        <f t="shared" si="17"/>
        <v>23</v>
      </c>
      <c r="P44" s="10">
        <f t="shared" si="18"/>
        <v>2.8679999999999999</v>
      </c>
      <c r="Q44" s="10">
        <f t="shared" si="19"/>
        <v>34.414999999999999</v>
      </c>
      <c r="R44" s="10">
        <f t="shared" si="20"/>
        <v>29</v>
      </c>
      <c r="S44" s="10">
        <f t="shared" si="21"/>
        <v>4.9029999999999996</v>
      </c>
      <c r="T44" s="10">
        <f t="shared" si="22"/>
        <v>31.870999999999999</v>
      </c>
      <c r="U44" s="10">
        <f t="shared" si="23"/>
        <v>31</v>
      </c>
      <c r="V44" s="10">
        <f t="shared" si="0"/>
        <v>6.1289999999999996</v>
      </c>
      <c r="W44" s="10">
        <f t="shared" si="1"/>
        <v>31.870999999999999</v>
      </c>
      <c r="X44" s="10">
        <f t="shared" si="2"/>
        <v>18</v>
      </c>
      <c r="Y44" s="10">
        <f t="shared" si="3"/>
        <v>8.5809999999999995</v>
      </c>
      <c r="Z44" s="10">
        <f t="shared" si="4"/>
        <v>30.645</v>
      </c>
      <c r="AA44" s="10">
        <f t="shared" si="5"/>
        <v>4</v>
      </c>
      <c r="AB44" s="10">
        <f t="shared" si="6"/>
        <v>6.1289999999999996</v>
      </c>
      <c r="AC44" s="10">
        <f t="shared" si="7"/>
        <v>31.870999999999999</v>
      </c>
      <c r="AD44" s="10">
        <f t="shared" si="8"/>
        <v>14</v>
      </c>
      <c r="AE44" t="s">
        <v>49</v>
      </c>
      <c r="AF44" s="10">
        <v>8.5930003999999993</v>
      </c>
      <c r="AG44" s="10">
        <v>9.4980001000000005</v>
      </c>
      <c r="AH44" s="10">
        <v>1.8740000000000001</v>
      </c>
      <c r="AI44" s="10">
        <v>1.8740000000000001</v>
      </c>
      <c r="AJ44" s="10">
        <v>9.4980001000000005</v>
      </c>
      <c r="AK44" s="10">
        <v>5.4970001999999996</v>
      </c>
      <c r="AL44" s="10">
        <v>9.4980001000000005</v>
      </c>
      <c r="AM44" s="10">
        <v>9.4980001000000005</v>
      </c>
      <c r="AN44" s="10">
        <v>1.8740000000000001</v>
      </c>
      <c r="AO44" s="10">
        <v>4.29</v>
      </c>
      <c r="AP44" s="10">
        <v>8.0249996185302734</v>
      </c>
      <c r="AQ44" s="10">
        <v>8.2930002212524414</v>
      </c>
      <c r="AR44" s="10">
        <v>8.5600004196166992</v>
      </c>
      <c r="AS44" s="10">
        <v>1.0700000524520874</v>
      </c>
      <c r="AT44" s="10">
        <v>2.9430000782012939</v>
      </c>
      <c r="AU44" s="10">
        <v>5.3499999046325684</v>
      </c>
      <c r="AV44" s="10">
        <v>7.2230000495910645</v>
      </c>
      <c r="AW44" s="10">
        <v>2.1400001049041748</v>
      </c>
      <c r="AX44" s="10">
        <v>2.1400001049041748</v>
      </c>
      <c r="AY44" s="10">
        <v>7.4899997711181641</v>
      </c>
      <c r="AZ44" s="10">
        <v>5.6180000305175781</v>
      </c>
      <c r="BA44" s="10">
        <v>1.8730000257492065</v>
      </c>
      <c r="BB44" s="10">
        <v>9.0950002670288086</v>
      </c>
      <c r="BC44" s="10">
        <v>9.0950002670288086</v>
      </c>
      <c r="BD44" s="10">
        <v>1.6050000190734863</v>
      </c>
      <c r="BE44" s="10">
        <v>1.6050000190734863</v>
      </c>
      <c r="BF44" s="10">
        <v>4.2800002098083496</v>
      </c>
      <c r="BG44" s="10">
        <v>6.4200000762939453</v>
      </c>
      <c r="BH44" s="10">
        <v>1.6050000190734863</v>
      </c>
      <c r="BI44" s="10">
        <v>6.1529998779296875</v>
      </c>
      <c r="BJ44" s="10">
        <v>1.3380000591278076</v>
      </c>
      <c r="BK44" s="10">
        <v>8.2930002212524414</v>
      </c>
      <c r="BL44" s="10">
        <v>1.0700000524520874</v>
      </c>
      <c r="BM44" s="10">
        <v>3.585</v>
      </c>
      <c r="BN44" s="10">
        <v>31.547000000000001</v>
      </c>
      <c r="BO44" s="10">
        <v>3.585</v>
      </c>
      <c r="BP44" s="10">
        <v>3.585</v>
      </c>
      <c r="BQ44" s="10">
        <v>34.414999999999999</v>
      </c>
      <c r="BR44" s="10">
        <v>3.585</v>
      </c>
      <c r="BS44" s="10">
        <v>4.3019999999999996</v>
      </c>
      <c r="BT44" s="10">
        <v>34.414999999999999</v>
      </c>
      <c r="BU44" s="10">
        <v>31.547000000000001</v>
      </c>
      <c r="BV44" s="10">
        <v>31.547000000000001</v>
      </c>
      <c r="BW44" s="10">
        <v>4.3019999999999996</v>
      </c>
      <c r="BX44" s="10">
        <v>4.3019999999999996</v>
      </c>
      <c r="BY44" s="10">
        <v>31.547000000000001</v>
      </c>
      <c r="BZ44" s="10">
        <v>5.7359999999999998</v>
      </c>
      <c r="CA44" s="10">
        <v>7.17</v>
      </c>
      <c r="CB44" s="10">
        <v>33.698</v>
      </c>
      <c r="CC44" s="10">
        <v>12.189</v>
      </c>
      <c r="CD44" s="10">
        <v>32.264000000000003</v>
      </c>
      <c r="CE44" s="10">
        <v>2.8679999999999999</v>
      </c>
      <c r="CF44" s="10">
        <v>2.8679999999999999</v>
      </c>
      <c r="CG44" s="10">
        <v>32.264000000000003</v>
      </c>
      <c r="CH44" s="10">
        <v>12.189</v>
      </c>
      <c r="CI44" s="10">
        <v>34.414999999999999</v>
      </c>
      <c r="CJ44" s="10">
        <v>14.34</v>
      </c>
      <c r="CK44" s="10">
        <v>5.0190000000000001</v>
      </c>
      <c r="CL44" s="10">
        <v>34.414999999999999</v>
      </c>
      <c r="CM44" s="10">
        <v>25.811</v>
      </c>
      <c r="CN44" s="10">
        <v>23.66</v>
      </c>
      <c r="CO44" s="10">
        <v>2.8679999999999999</v>
      </c>
      <c r="CP44" s="10">
        <v>29.419</v>
      </c>
      <c r="CQ44" s="10">
        <v>30.645</v>
      </c>
      <c r="CR44" s="10">
        <v>29.419</v>
      </c>
      <c r="CS44" s="10">
        <v>25.742000000000001</v>
      </c>
      <c r="CT44" s="10">
        <v>4.9029999999999996</v>
      </c>
      <c r="CU44" s="10">
        <v>24.515999999999998</v>
      </c>
      <c r="CV44" s="10">
        <v>4.9029999999999996</v>
      </c>
      <c r="CW44" s="10">
        <v>9.8059999999999992</v>
      </c>
      <c r="CX44" s="10">
        <v>30.645</v>
      </c>
      <c r="CY44" s="10">
        <v>8.5809999999999995</v>
      </c>
      <c r="CZ44" s="10">
        <v>8.5809999999999995</v>
      </c>
      <c r="DA44" s="10">
        <v>6.1289999999999996</v>
      </c>
      <c r="DB44" s="10">
        <v>29.419</v>
      </c>
      <c r="DC44" s="10">
        <v>30.645</v>
      </c>
      <c r="DD44" s="10">
        <v>29.419</v>
      </c>
      <c r="DE44" s="10">
        <v>29.419</v>
      </c>
      <c r="DF44" s="10">
        <v>6.1289999999999996</v>
      </c>
      <c r="DG44" s="10">
        <v>30.645</v>
      </c>
      <c r="DH44" s="10">
        <v>30.645</v>
      </c>
      <c r="DI44" s="10">
        <v>4.9029999999999996</v>
      </c>
      <c r="DJ44" s="10">
        <v>6.1289999999999996</v>
      </c>
      <c r="DK44" s="10">
        <v>4.9029999999999996</v>
      </c>
      <c r="DL44" s="10">
        <v>25.742000000000001</v>
      </c>
      <c r="DM44" s="10">
        <v>25.742000000000001</v>
      </c>
      <c r="DN44" s="10">
        <v>9.8059999999999992</v>
      </c>
      <c r="DO44" s="10">
        <v>25.742000000000001</v>
      </c>
      <c r="DP44" s="10">
        <v>7.3550000000000004</v>
      </c>
      <c r="DQ44" s="10">
        <v>11.032</v>
      </c>
      <c r="DR44" s="10">
        <v>4.9029999999999996</v>
      </c>
      <c r="DS44" s="10">
        <v>31.870999999999999</v>
      </c>
      <c r="DT44" s="10">
        <v>31.870999999999999</v>
      </c>
      <c r="DU44" s="10">
        <v>30.645</v>
      </c>
      <c r="DV44" s="10">
        <v>25.742000000000001</v>
      </c>
      <c r="DW44" s="10">
        <v>30.645</v>
      </c>
      <c r="DX44" s="10">
        <v>8.5809999999999995</v>
      </c>
      <c r="DY44" s="10">
        <v>29.419</v>
      </c>
      <c r="DZ44" s="10">
        <v>28.193999999999999</v>
      </c>
      <c r="EA44" s="10">
        <v>8.5809999999999995</v>
      </c>
      <c r="EB44" s="10">
        <v>30.645</v>
      </c>
      <c r="EC44" s="10">
        <v>30.645</v>
      </c>
      <c r="ED44" s="10">
        <v>31.870999999999999</v>
      </c>
      <c r="EE44" s="10">
        <v>6.1289999999999996</v>
      </c>
      <c r="EF44" s="10">
        <v>6.1289999999999996</v>
      </c>
      <c r="EG44" s="10">
        <v>31.870999999999999</v>
      </c>
      <c r="EH44" s="10">
        <v>30.645</v>
      </c>
      <c r="EI44" s="10">
        <v>30.645</v>
      </c>
      <c r="EJ44" s="10">
        <v>30.645</v>
      </c>
      <c r="EK44" s="10">
        <v>30.645</v>
      </c>
      <c r="EL44" s="10">
        <v>8.5809999999999995</v>
      </c>
      <c r="EM44" s="10">
        <v>30.645</v>
      </c>
      <c r="EN44" s="10">
        <v>30.645</v>
      </c>
      <c r="EO44" s="10">
        <v>9.8059999999999992</v>
      </c>
      <c r="EP44" s="10">
        <v>28.193999999999999</v>
      </c>
      <c r="EQ44" s="10">
        <v>30.645</v>
      </c>
      <c r="ER44" s="10">
        <v>30.645</v>
      </c>
      <c r="ES44" s="10">
        <v>19.613</v>
      </c>
      <c r="ET44" s="10">
        <v>19.613</v>
      </c>
      <c r="EU44" s="10">
        <v>18.387</v>
      </c>
      <c r="EV44" s="10">
        <v>19.613</v>
      </c>
      <c r="EW44" s="10">
        <v>30.645</v>
      </c>
      <c r="EX44" s="10">
        <v>19.613</v>
      </c>
      <c r="EY44" s="10">
        <v>17.161000000000001</v>
      </c>
      <c r="EZ44" s="10">
        <v>22.065000000000001</v>
      </c>
      <c r="FA44" s="10">
        <v>22.065000000000001</v>
      </c>
      <c r="FB44" s="10">
        <v>30.645</v>
      </c>
      <c r="FC44" s="10">
        <v>20.838999999999999</v>
      </c>
      <c r="FD44" s="10">
        <v>20.838999999999999</v>
      </c>
      <c r="FE44" s="10">
        <v>24.515999999999998</v>
      </c>
      <c r="FF44" s="10">
        <v>24.515999999999998</v>
      </c>
      <c r="FG44" s="10">
        <v>12.257999999999999</v>
      </c>
      <c r="FH44" s="10">
        <v>29.419</v>
      </c>
      <c r="FI44" s="10">
        <v>29.419</v>
      </c>
      <c r="FJ44" s="10">
        <v>8.5809999999999995</v>
      </c>
      <c r="FK44" s="10">
        <v>8.5809999999999995</v>
      </c>
    </row>
    <row r="45" spans="3:167" x14ac:dyDescent="0.2">
      <c r="C45" s="10">
        <f t="shared" si="9"/>
        <v>0.80250000953674316</v>
      </c>
      <c r="D45" s="10">
        <f t="shared" si="10"/>
        <v>22.468438478747252</v>
      </c>
      <c r="E45" s="10" cm="1">
        <f t="array" ref="E45">gavg(AF45,EL45)</f>
        <v>3.2388507457266278</v>
      </c>
      <c r="F45" s="10" cm="1">
        <f t="array" ref="F45">lnstdev(AF45,EL45)</f>
        <v>0.68709381452125962</v>
      </c>
      <c r="G45" s="10">
        <f t="shared" si="11"/>
        <v>101</v>
      </c>
      <c r="H45" s="10">
        <f t="shared" si="12"/>
        <v>0</v>
      </c>
      <c r="I45" s="10">
        <f t="shared" si="13"/>
        <v>0</v>
      </c>
      <c r="J45" s="10"/>
      <c r="K45" s="10"/>
      <c r="L45" s="10">
        <f t="shared" si="14"/>
        <v>0</v>
      </c>
      <c r="M45" s="10">
        <f t="shared" si="15"/>
        <v>0.80250000953674316</v>
      </c>
      <c r="N45" s="10">
        <f t="shared" si="16"/>
        <v>4.815000057220459</v>
      </c>
      <c r="O45" s="10">
        <f t="shared" si="17"/>
        <v>23</v>
      </c>
      <c r="P45" s="10">
        <f t="shared" si="18"/>
        <v>1.5840517799352882</v>
      </c>
      <c r="Q45" s="10">
        <f t="shared" si="19"/>
        <v>4.3719121697060279</v>
      </c>
      <c r="R45" s="10">
        <f t="shared" si="20"/>
        <v>29</v>
      </c>
      <c r="S45" s="10">
        <f t="shared" si="21"/>
        <v>2.7576584294343824</v>
      </c>
      <c r="T45" s="10">
        <f t="shared" si="22"/>
        <v>6.5471916558018393</v>
      </c>
      <c r="U45" s="10">
        <f t="shared" si="23"/>
        <v>31</v>
      </c>
      <c r="V45" s="10">
        <f t="shared" si="0"/>
        <v>5.4941969365426813</v>
      </c>
      <c r="W45" s="10">
        <f t="shared" si="1"/>
        <v>22.468438478747252</v>
      </c>
      <c r="X45" s="10">
        <f t="shared" si="2"/>
        <v>18</v>
      </c>
      <c r="Y45" s="10">
        <f t="shared" si="3"/>
        <v>6.1521543644716825</v>
      </c>
      <c r="Z45" s="10">
        <f t="shared" si="4"/>
        <v>18.843136960600415</v>
      </c>
      <c r="AA45" s="10">
        <f t="shared" si="5"/>
        <v>4</v>
      </c>
      <c r="AB45" s="10">
        <f t="shared" si="6"/>
        <v>5.4941969365426813</v>
      </c>
      <c r="AC45" s="10">
        <f t="shared" si="7"/>
        <v>22.468438478747252</v>
      </c>
      <c r="AD45" s="10">
        <f t="shared" si="8"/>
        <v>14</v>
      </c>
      <c r="AE45" s="5" t="s">
        <v>363</v>
      </c>
      <c r="AF45" s="9" t="s">
        <v>205</v>
      </c>
      <c r="AG45" s="9" t="s">
        <v>205</v>
      </c>
      <c r="AH45" s="9" t="s">
        <v>205</v>
      </c>
      <c r="AI45" s="9" t="s">
        <v>205</v>
      </c>
      <c r="AJ45" s="9" t="s">
        <v>205</v>
      </c>
      <c r="AK45" s="9" t="s">
        <v>205</v>
      </c>
      <c r="AL45" s="9" t="s">
        <v>205</v>
      </c>
      <c r="AM45" s="9" t="s">
        <v>205</v>
      </c>
      <c r="AN45" s="9" t="s">
        <v>205</v>
      </c>
      <c r="AO45" s="9" t="s">
        <v>205</v>
      </c>
      <c r="AP45" s="10">
        <v>2.4075000286102295</v>
      </c>
      <c r="AQ45" s="10">
        <v>2.4075000286102295</v>
      </c>
      <c r="AR45" s="10">
        <v>1.6050000190734863</v>
      </c>
      <c r="AS45" s="10">
        <v>1.6050000190734863</v>
      </c>
      <c r="AT45" s="10">
        <v>1.2037500143051147</v>
      </c>
      <c r="AU45" s="10">
        <v>1.6050000190734863</v>
      </c>
      <c r="AV45" s="10">
        <v>1.6050000190734863</v>
      </c>
      <c r="AW45" s="10">
        <v>1.2037500143051147</v>
      </c>
      <c r="AX45" s="10">
        <v>1.2037500143051147</v>
      </c>
      <c r="AY45" s="10">
        <v>1.2037500143051147</v>
      </c>
      <c r="AZ45" s="10">
        <v>1.2037500143051147</v>
      </c>
      <c r="BA45" s="10">
        <v>1.2037500143051147</v>
      </c>
      <c r="BB45" s="10">
        <v>1.2037500143051147</v>
      </c>
      <c r="BC45" s="10">
        <v>1.2037500143051147</v>
      </c>
      <c r="BD45" s="10">
        <v>0.96299999952316284</v>
      </c>
      <c r="BE45" s="10">
        <v>0.96299999952316284</v>
      </c>
      <c r="BF45" s="10">
        <v>0.96299999952316284</v>
      </c>
      <c r="BG45" s="10">
        <v>0.80250000953674316</v>
      </c>
      <c r="BH45" s="10">
        <v>0.96299999952316284</v>
      </c>
      <c r="BI45" s="10">
        <v>4.815000057220459</v>
      </c>
      <c r="BJ45" s="10">
        <v>2.4075000286102295</v>
      </c>
      <c r="BK45" s="10">
        <v>2.4075000286102295</v>
      </c>
      <c r="BL45" s="10">
        <v>2.4075000286102295</v>
      </c>
      <c r="BM45" s="10">
        <v>2.8211642651297062</v>
      </c>
      <c r="BN45" s="10">
        <v>2.4622360092224054</v>
      </c>
      <c r="BO45" s="10">
        <v>1.7962275229357945</v>
      </c>
      <c r="BP45" s="10">
        <v>4.0313411118737461</v>
      </c>
      <c r="BQ45" s="10">
        <v>3.2017792313982274</v>
      </c>
      <c r="BR45" s="10">
        <v>2.2845834305717809</v>
      </c>
      <c r="BS45" s="10">
        <v>2.7550018761726305</v>
      </c>
      <c r="BT45" s="10">
        <v>2.741500116686137</v>
      </c>
      <c r="BU45" s="10">
        <v>2.3424382851445857</v>
      </c>
      <c r="BV45" s="10">
        <v>2.2085595036661205</v>
      </c>
      <c r="BW45" s="10">
        <v>2.1029946294307371</v>
      </c>
      <c r="BX45" s="10">
        <v>2.3248224816940621</v>
      </c>
      <c r="BY45" s="10">
        <v>1.9349906111019759</v>
      </c>
      <c r="BZ45" s="10">
        <v>4.3719121697060279</v>
      </c>
      <c r="CA45" s="10">
        <v>2.2621467359907754</v>
      </c>
      <c r="CB45" s="10">
        <v>2.2686998841251635</v>
      </c>
      <c r="CC45" s="10">
        <v>2.1554730275229534</v>
      </c>
      <c r="CD45" s="10">
        <v>2.4494011676397198</v>
      </c>
      <c r="CE45" s="10">
        <v>2.4067461585740824</v>
      </c>
      <c r="CF45" s="10">
        <v>2.0480000000000169</v>
      </c>
      <c r="CG45" s="10">
        <v>2.9921874681610028</v>
      </c>
      <c r="CH45" s="10">
        <v>1.95041142287898</v>
      </c>
      <c r="CI45" s="10">
        <v>1.9624670898763945</v>
      </c>
      <c r="CJ45" s="10">
        <v>1.5840517799352882</v>
      </c>
      <c r="CK45" s="10">
        <v>2.5897989417989629</v>
      </c>
      <c r="CL45" s="10">
        <v>2.623928523564909</v>
      </c>
      <c r="CM45" s="10">
        <v>2.3944818589482462</v>
      </c>
      <c r="CN45" s="10">
        <v>1.9958083588175493</v>
      </c>
      <c r="CO45" s="10">
        <v>2.5279380245319771</v>
      </c>
      <c r="CP45" s="10">
        <v>3.4412855919136613</v>
      </c>
      <c r="CQ45" s="10">
        <v>2.7576584294343824</v>
      </c>
      <c r="CR45" s="10">
        <v>6.5153370094064362</v>
      </c>
      <c r="CS45" s="10">
        <v>6.5471916558018393</v>
      </c>
      <c r="CT45" s="10">
        <v>6.1805489230769366</v>
      </c>
      <c r="CU45" s="10">
        <v>5.0054283578370402</v>
      </c>
      <c r="CV45" s="10">
        <v>4.9244383427310723</v>
      </c>
      <c r="CW45" s="10">
        <v>4.8695233939394038</v>
      </c>
      <c r="CX45" s="10">
        <v>4.5828847821127177</v>
      </c>
      <c r="CY45" s="10">
        <v>3.7329091246980188</v>
      </c>
      <c r="CZ45" s="10">
        <v>4.4127381370826102</v>
      </c>
      <c r="DA45" s="10">
        <v>5.3323026280860208</v>
      </c>
      <c r="DB45" s="10">
        <v>4.6507950914563656</v>
      </c>
      <c r="DC45" s="10">
        <v>5.0558228039265147</v>
      </c>
      <c r="DD45" s="10">
        <v>4.2583811744753106</v>
      </c>
      <c r="DE45" s="10">
        <v>3.5320527518902836</v>
      </c>
      <c r="DF45" s="10">
        <v>6.4858844042622028</v>
      </c>
      <c r="DG45" s="10">
        <v>5.5381262751585449</v>
      </c>
      <c r="DH45" s="10">
        <v>4.3290482758620783</v>
      </c>
      <c r="DI45" s="10">
        <v>4.0826796747967569</v>
      </c>
      <c r="DJ45" s="10">
        <v>3.4161197278911639</v>
      </c>
      <c r="DK45" s="10">
        <v>2.8120935181296436</v>
      </c>
      <c r="DL45" s="10">
        <v>3.7785522949586237</v>
      </c>
      <c r="DM45" s="10">
        <v>3.280010450685833</v>
      </c>
      <c r="DN45" s="10">
        <v>3.7419493293591737</v>
      </c>
      <c r="DO45" s="10">
        <v>4.8308763828763936</v>
      </c>
      <c r="DP45" s="10">
        <v>3.4531174144748227</v>
      </c>
      <c r="DQ45" s="10">
        <v>4.0727461476074698</v>
      </c>
      <c r="DR45" s="10">
        <v>3.4662267471958663</v>
      </c>
      <c r="DS45" s="10">
        <v>2.8976895556837912</v>
      </c>
      <c r="DT45" s="10">
        <v>4.1795222638368799</v>
      </c>
      <c r="DU45" s="10">
        <v>9.3037443260769077</v>
      </c>
      <c r="DV45" s="10">
        <v>18.843136960600415</v>
      </c>
      <c r="DW45" s="10">
        <v>6.9384400690846437</v>
      </c>
      <c r="DX45" s="10">
        <v>6.1521543644716825</v>
      </c>
      <c r="DY45" s="10">
        <v>22.468438478747252</v>
      </c>
      <c r="DZ45" s="10">
        <v>15.607446775446808</v>
      </c>
      <c r="EA45" s="10">
        <v>10.816792676359743</v>
      </c>
      <c r="EB45" s="10">
        <v>9.9587426871591678</v>
      </c>
      <c r="EC45" s="10">
        <v>9.7225479186834658</v>
      </c>
      <c r="ED45" s="10">
        <v>7.6843091048202146</v>
      </c>
      <c r="EE45" s="10">
        <v>10.434692987013008</v>
      </c>
      <c r="EF45" s="10">
        <v>6.7292408710217897</v>
      </c>
      <c r="EG45" s="10">
        <v>6.8183245078072101</v>
      </c>
      <c r="EH45" s="10">
        <v>6.2072880098887646</v>
      </c>
      <c r="EI45" s="10">
        <v>5.4941969365426813</v>
      </c>
      <c r="EJ45" s="10">
        <v>7.7916152055857424</v>
      </c>
      <c r="EK45" s="10">
        <v>6.3285393824826857</v>
      </c>
      <c r="EL45" s="10">
        <v>6.498474280168244</v>
      </c>
      <c r="EM45" s="10">
        <v>5.3224122946475996</v>
      </c>
      <c r="EN45" s="10">
        <v>13.599718348002737</v>
      </c>
      <c r="EO45" s="10">
        <v>10.472775808133495</v>
      </c>
      <c r="EP45" s="10">
        <v>8.4292001678556616</v>
      </c>
      <c r="EQ45" s="10">
        <v>9.8127914020518041</v>
      </c>
      <c r="ER45" s="10">
        <v>10.50014845791952</v>
      </c>
      <c r="ES45" s="10">
        <v>8.1257216828479137</v>
      </c>
      <c r="ET45" s="10">
        <v>5.4672792596625044</v>
      </c>
      <c r="EU45" s="10">
        <v>5.2092282157676459</v>
      </c>
      <c r="EV45" s="10">
        <v>4.8577470374848959</v>
      </c>
      <c r="EW45" s="10">
        <v>11.10380541735768</v>
      </c>
      <c r="EX45" s="10">
        <v>16.159922767498024</v>
      </c>
      <c r="EY45" s="10">
        <v>12.159070217917701</v>
      </c>
      <c r="EZ45" s="10">
        <v>6.3345266477452036</v>
      </c>
      <c r="FA45" s="10">
        <v>15.194239031770076</v>
      </c>
      <c r="FB45" s="10">
        <v>22.443334078212338</v>
      </c>
      <c r="FC45" s="10">
        <v>14.76969411764709</v>
      </c>
      <c r="FD45" s="10">
        <v>10.222281933842261</v>
      </c>
      <c r="FE45" s="10">
        <v>10.295635058944152</v>
      </c>
      <c r="FF45" s="10">
        <v>10.735854623196175</v>
      </c>
      <c r="FG45" s="10">
        <v>22.594807649043915</v>
      </c>
      <c r="FH45" s="10">
        <v>13.472021462105998</v>
      </c>
      <c r="FI45" s="10">
        <v>7.9269076558800489</v>
      </c>
      <c r="FJ45" s="10">
        <v>11.760412177985973</v>
      </c>
      <c r="FK45" s="10">
        <v>6.6031505588428807</v>
      </c>
    </row>
    <row r="46" spans="3:167" x14ac:dyDescent="0.2">
      <c r="C46" s="10">
        <f t="shared" si="9"/>
        <v>0.87545454502105713</v>
      </c>
      <c r="D46" s="10">
        <f t="shared" si="10"/>
        <v>13.051841455490605</v>
      </c>
      <c r="E46" s="10" cm="1">
        <f t="array" ref="E46">gavg(AF46,EL46)</f>
        <v>2.4009461667330441</v>
      </c>
      <c r="F46" s="10" cm="1">
        <f t="array" ref="F46">lnstdev(AF46,EL46)</f>
        <v>0.52874250994104166</v>
      </c>
      <c r="G46" s="10">
        <f t="shared" si="11"/>
        <v>101</v>
      </c>
      <c r="H46" s="10">
        <f t="shared" si="12"/>
        <v>0</v>
      </c>
      <c r="I46" s="10">
        <f t="shared" si="13"/>
        <v>0</v>
      </c>
      <c r="J46" s="10"/>
      <c r="K46" s="10"/>
      <c r="L46" s="10">
        <f t="shared" si="14"/>
        <v>0</v>
      </c>
      <c r="M46" s="10">
        <f t="shared" si="15"/>
        <v>0.87545454502105713</v>
      </c>
      <c r="N46" s="10">
        <f t="shared" si="16"/>
        <v>2.4075000286102295</v>
      </c>
      <c r="O46" s="10">
        <f t="shared" si="17"/>
        <v>23</v>
      </c>
      <c r="P46" s="10">
        <f t="shared" si="18"/>
        <v>1.3796039929536228</v>
      </c>
      <c r="Q46" s="10">
        <f t="shared" si="19"/>
        <v>2.6968154269972673</v>
      </c>
      <c r="R46" s="10">
        <f t="shared" si="20"/>
        <v>29</v>
      </c>
      <c r="S46" s="10">
        <f t="shared" si="21"/>
        <v>1.7848572951839383</v>
      </c>
      <c r="T46" s="10">
        <f t="shared" si="22"/>
        <v>5.5213809785596606</v>
      </c>
      <c r="U46" s="10">
        <f t="shared" si="23"/>
        <v>31</v>
      </c>
      <c r="V46" s="10">
        <f t="shared" si="0"/>
        <v>2.9396727645251053</v>
      </c>
      <c r="W46" s="10">
        <f t="shared" si="1"/>
        <v>13.051841455490605</v>
      </c>
      <c r="X46" s="10">
        <f t="shared" si="2"/>
        <v>18</v>
      </c>
      <c r="Y46" s="10">
        <f t="shared" si="3"/>
        <v>3.4830560083232256</v>
      </c>
      <c r="Z46" s="10">
        <f t="shared" si="4"/>
        <v>9.7131450676982798</v>
      </c>
      <c r="AA46" s="10">
        <f t="shared" si="5"/>
        <v>4</v>
      </c>
      <c r="AB46" s="10">
        <f t="shared" si="6"/>
        <v>2.9396727645251053</v>
      </c>
      <c r="AC46" s="10">
        <f t="shared" si="7"/>
        <v>13.051841455490605</v>
      </c>
      <c r="AD46" s="10">
        <f t="shared" si="8"/>
        <v>14</v>
      </c>
      <c r="AE46" s="5" t="s">
        <v>364</v>
      </c>
      <c r="AF46" s="9" t="s">
        <v>205</v>
      </c>
      <c r="AG46" s="9" t="s">
        <v>205</v>
      </c>
      <c r="AH46" s="9" t="s">
        <v>205</v>
      </c>
      <c r="AI46" s="9" t="s">
        <v>205</v>
      </c>
      <c r="AJ46" s="9" t="s">
        <v>205</v>
      </c>
      <c r="AK46" s="9" t="s">
        <v>205</v>
      </c>
      <c r="AL46" s="9" t="s">
        <v>205</v>
      </c>
      <c r="AM46" s="9" t="s">
        <v>205</v>
      </c>
      <c r="AN46" s="9" t="s">
        <v>205</v>
      </c>
      <c r="AO46" s="9" t="s">
        <v>205</v>
      </c>
      <c r="AP46" s="10">
        <v>2.4075000286102295</v>
      </c>
      <c r="AQ46" s="10">
        <v>1.9259999990463257</v>
      </c>
      <c r="AR46" s="10">
        <v>1.6050000190734863</v>
      </c>
      <c r="AS46" s="10">
        <v>1.9259999990463257</v>
      </c>
      <c r="AT46" s="10">
        <v>1.6050000190734863</v>
      </c>
      <c r="AU46" s="10">
        <v>1.3757143020629883</v>
      </c>
      <c r="AV46" s="10">
        <v>1.3757143020629883</v>
      </c>
      <c r="AW46" s="10">
        <v>1.2037500143051147</v>
      </c>
      <c r="AX46" s="10">
        <v>1.2037500143051147</v>
      </c>
      <c r="AY46" s="10">
        <v>1.2037500143051147</v>
      </c>
      <c r="AZ46" s="10">
        <v>1.0700000524520874</v>
      </c>
      <c r="BA46" s="10">
        <v>0.96299999952316284</v>
      </c>
      <c r="BB46" s="10">
        <v>0.96299999952316284</v>
      </c>
      <c r="BC46" s="10">
        <v>0.96299999952316284</v>
      </c>
      <c r="BD46" s="10">
        <v>0.87545454502105713</v>
      </c>
      <c r="BE46" s="10">
        <v>0.87545454502105713</v>
      </c>
      <c r="BF46" s="10">
        <v>0.87545454502105713</v>
      </c>
      <c r="BG46" s="10">
        <v>0.87545454502105713</v>
      </c>
      <c r="BH46" s="10">
        <v>0.87545454502105713</v>
      </c>
      <c r="BI46" s="10">
        <v>1.9259999990463257</v>
      </c>
      <c r="BJ46" s="10">
        <v>1.9259999990463257</v>
      </c>
      <c r="BK46" s="10">
        <v>1.9259999990463257</v>
      </c>
      <c r="BL46" s="10">
        <v>1.9259999990463257</v>
      </c>
      <c r="BM46" s="10">
        <v>1.7087022545454684</v>
      </c>
      <c r="BN46" s="10">
        <v>2.521968226706762</v>
      </c>
      <c r="BO46" s="10">
        <v>2.0278487830139991</v>
      </c>
      <c r="BP46" s="10">
        <v>1.9985246682545248</v>
      </c>
      <c r="BQ46" s="10">
        <v>2.1018658078368397</v>
      </c>
      <c r="BR46" s="10">
        <v>1.7780124110791731</v>
      </c>
      <c r="BS46" s="10">
        <v>1.3796039929536228</v>
      </c>
      <c r="BT46" s="10">
        <v>1.7199601756954752</v>
      </c>
      <c r="BU46" s="10">
        <v>2.6595716549694579</v>
      </c>
      <c r="BV46" s="10">
        <v>2.3532307692307883</v>
      </c>
      <c r="BW46" s="10">
        <v>2.1978162768943119</v>
      </c>
      <c r="BX46" s="10">
        <v>2.2612758421559378</v>
      </c>
      <c r="BY46" s="10">
        <v>2.4967753453772787</v>
      </c>
      <c r="BZ46" s="10">
        <v>1.9995451914893783</v>
      </c>
      <c r="CA46" s="10">
        <v>1.6861386536529492</v>
      </c>
      <c r="CB46" s="10">
        <v>2.502093290734845</v>
      </c>
      <c r="CC46" s="10">
        <v>2.0469294302143397</v>
      </c>
      <c r="CD46" s="10">
        <v>2.1022419470293658</v>
      </c>
      <c r="CE46" s="10">
        <v>2.2006983889097222</v>
      </c>
      <c r="CF46" s="10">
        <v>2.1060107565435811</v>
      </c>
      <c r="CG46" s="10">
        <v>2.1479846407021572</v>
      </c>
      <c r="CH46" s="10">
        <v>1.9449218543046516</v>
      </c>
      <c r="CI46" s="10">
        <v>1.8631765265662326</v>
      </c>
      <c r="CJ46" s="10">
        <v>2.6968154269972673</v>
      </c>
      <c r="CK46" s="10">
        <v>1.6753177410154159</v>
      </c>
      <c r="CL46" s="10">
        <v>2.5187238421955609</v>
      </c>
      <c r="CM46" s="10">
        <v>1.9796643073812097</v>
      </c>
      <c r="CN46" s="10">
        <v>1.8726810138689778</v>
      </c>
      <c r="CO46" s="10">
        <v>2.0373444328824308</v>
      </c>
      <c r="CP46" s="10">
        <v>5.5213809785596606</v>
      </c>
      <c r="CQ46" s="10">
        <v>4.6346986617443573</v>
      </c>
      <c r="CR46" s="10">
        <v>4.3895944055944147</v>
      </c>
      <c r="CS46" s="10">
        <v>3.7799744072262031</v>
      </c>
      <c r="CT46" s="10">
        <v>3.4085837434244093</v>
      </c>
      <c r="CU46" s="10">
        <v>2.8715917083631224</v>
      </c>
      <c r="CV46" s="10">
        <v>3.4692200345423219</v>
      </c>
      <c r="CW46" s="10">
        <v>2.673959531416406</v>
      </c>
      <c r="CX46" s="10">
        <v>2.7817177676222187</v>
      </c>
      <c r="CY46" s="10">
        <v>2.5831769547325156</v>
      </c>
      <c r="CZ46" s="10">
        <v>2.6158072665711738</v>
      </c>
      <c r="DA46" s="10">
        <v>2.1543097383097427</v>
      </c>
      <c r="DB46" s="10">
        <v>2.6052897535668018</v>
      </c>
      <c r="DC46" s="10">
        <v>2.261770521337692</v>
      </c>
      <c r="DD46" s="10">
        <v>2.247346609979866</v>
      </c>
      <c r="DE46" s="10">
        <v>2.9609056603773647</v>
      </c>
      <c r="DF46" s="10">
        <v>4.2350377398271224</v>
      </c>
      <c r="DG46" s="10">
        <v>3.1582993710691891</v>
      </c>
      <c r="DH46" s="10">
        <v>2.113508417508422</v>
      </c>
      <c r="DI46" s="10">
        <v>2.6861171436212947</v>
      </c>
      <c r="DJ46" s="10">
        <v>1.8638567319291122</v>
      </c>
      <c r="DK46" s="10">
        <v>2.1584766817107286</v>
      </c>
      <c r="DL46" s="10">
        <v>2.0642055287226433</v>
      </c>
      <c r="DM46" s="10">
        <v>4.2892983130472011</v>
      </c>
      <c r="DN46" s="10">
        <v>3.23458679549115</v>
      </c>
      <c r="DO46" s="10">
        <v>3.6978615611193009</v>
      </c>
      <c r="DP46" s="10">
        <v>2.7444711026096518</v>
      </c>
      <c r="DQ46" s="10">
        <v>3.2236854437490039</v>
      </c>
      <c r="DR46" s="10">
        <v>1.7848572951839383</v>
      </c>
      <c r="DS46" s="10">
        <v>1.8475702722590179</v>
      </c>
      <c r="DT46" s="10">
        <v>2.5555704834605653</v>
      </c>
      <c r="DU46" s="10">
        <v>4.9572517275419656</v>
      </c>
      <c r="DV46" s="10">
        <v>9.7131450676982798</v>
      </c>
      <c r="DW46" s="10">
        <v>4.4856596694953197</v>
      </c>
      <c r="DX46" s="10">
        <v>3.4830560083232256</v>
      </c>
      <c r="DY46" s="10">
        <v>13.051841455490605</v>
      </c>
      <c r="DZ46" s="10">
        <v>9.4481580432737733</v>
      </c>
      <c r="EA46" s="10">
        <v>7.9300371101460891</v>
      </c>
      <c r="EB46" s="10">
        <v>5.0878378926038605</v>
      </c>
      <c r="EC46" s="10">
        <v>4.8239154658981853</v>
      </c>
      <c r="ED46" s="10">
        <v>4.6304250806823521</v>
      </c>
      <c r="EE46" s="10">
        <v>4.2305779275484507</v>
      </c>
      <c r="EF46" s="10">
        <v>4.0876646316646399</v>
      </c>
      <c r="EG46" s="10">
        <v>3.4424651242502211</v>
      </c>
      <c r="EH46" s="10">
        <v>3.1346416978776599</v>
      </c>
      <c r="EI46" s="10">
        <v>2.9396727645251053</v>
      </c>
      <c r="EJ46" s="10">
        <v>4.4429957973899672</v>
      </c>
      <c r="EK46" s="10">
        <v>3.4248566069906294</v>
      </c>
      <c r="EL46" s="10">
        <v>3.6601282798833896</v>
      </c>
      <c r="EM46" s="10">
        <v>12.173808484848511</v>
      </c>
      <c r="EN46" s="10">
        <v>17.886717720391847</v>
      </c>
      <c r="EO46" s="10">
        <v>14.835143279172852</v>
      </c>
      <c r="EP46" s="10">
        <v>17.72884730803181</v>
      </c>
      <c r="EQ46" s="10">
        <v>5.046930653266342</v>
      </c>
      <c r="ER46" s="10">
        <v>14.286475106685664</v>
      </c>
      <c r="ES46" s="10">
        <v>11.504458190148936</v>
      </c>
      <c r="ET46" s="10">
        <v>11.406464508801841</v>
      </c>
      <c r="EU46" s="10">
        <v>16.794969899665585</v>
      </c>
      <c r="EV46" s="10">
        <v>15.643912772585704</v>
      </c>
      <c r="EW46" s="10">
        <v>11.928019002375322</v>
      </c>
      <c r="EX46" s="10">
        <v>17.807432624113513</v>
      </c>
      <c r="EY46" s="10">
        <v>16.979530008453121</v>
      </c>
      <c r="EZ46" s="10">
        <v>16.238305578011353</v>
      </c>
      <c r="FA46" s="10">
        <v>16.879650420168105</v>
      </c>
      <c r="FB46" s="10">
        <v>15.475180277349802</v>
      </c>
      <c r="FC46" s="10">
        <v>13.094383311603679</v>
      </c>
      <c r="FD46" s="10">
        <v>17.095135319148973</v>
      </c>
      <c r="FE46" s="10">
        <v>15.547046439628515</v>
      </c>
      <c r="FF46" s="10">
        <v>14.566195794053693</v>
      </c>
      <c r="FG46" s="10">
        <v>15.39217164750961</v>
      </c>
      <c r="FH46" s="10">
        <v>15.380385911179205</v>
      </c>
      <c r="FI46" s="10">
        <v>7.4561187824796002</v>
      </c>
      <c r="FJ46" s="10">
        <v>7.5231400749063821</v>
      </c>
      <c r="FK46" s="10">
        <v>4.0976711546307714</v>
      </c>
    </row>
    <row r="47" spans="3:167" x14ac:dyDescent="0.2">
      <c r="C47" s="10">
        <f t="shared" si="9"/>
        <v>0.56995565000000004</v>
      </c>
      <c r="D47" s="10">
        <f t="shared" si="10"/>
        <v>61.166666666666664</v>
      </c>
      <c r="E47" s="10" cm="1">
        <f t="array" ref="E47">gavg(AF47,EL47)</f>
        <v>9.7847874929274425</v>
      </c>
      <c r="F47" s="10" cm="1">
        <f t="array" ref="F47">lnstdev(AF47,EL47)</f>
        <v>1.2054706175518162</v>
      </c>
      <c r="G47" s="10">
        <f t="shared" si="11"/>
        <v>111</v>
      </c>
      <c r="H47" s="10">
        <f t="shared" si="12"/>
        <v>0.56995565000000004</v>
      </c>
      <c r="I47" s="10">
        <f t="shared" si="13"/>
        <v>1.4596701999999999</v>
      </c>
      <c r="J47" s="10"/>
      <c r="K47" s="10"/>
      <c r="L47" s="10">
        <f t="shared" si="14"/>
        <v>10</v>
      </c>
      <c r="M47" s="10">
        <f t="shared" si="15"/>
        <v>2.2898569107055664</v>
      </c>
      <c r="N47" s="10">
        <f t="shared" si="16"/>
        <v>17.400253295898438</v>
      </c>
      <c r="O47" s="10">
        <f t="shared" si="17"/>
        <v>23</v>
      </c>
      <c r="P47" s="10">
        <f t="shared" si="18"/>
        <v>16.887499999999999</v>
      </c>
      <c r="Q47" s="10">
        <f t="shared" si="19"/>
        <v>61.166666666666664</v>
      </c>
      <c r="R47" s="10">
        <f t="shared" si="20"/>
        <v>29</v>
      </c>
      <c r="S47" s="10">
        <f t="shared" si="21"/>
        <v>1.575</v>
      </c>
      <c r="T47" s="10">
        <f t="shared" si="22"/>
        <v>25.5</v>
      </c>
      <c r="U47" s="10">
        <f t="shared" si="23"/>
        <v>31</v>
      </c>
      <c r="V47" s="10">
        <f t="shared" si="0"/>
        <v>1.145</v>
      </c>
      <c r="W47" s="10">
        <f t="shared" si="1"/>
        <v>10.961538461538462</v>
      </c>
      <c r="X47" s="10">
        <f t="shared" si="2"/>
        <v>18</v>
      </c>
      <c r="Y47" s="10">
        <f t="shared" si="3"/>
        <v>3.4031100478468903</v>
      </c>
      <c r="Z47" s="10">
        <f t="shared" si="4"/>
        <v>8.4259259259259256</v>
      </c>
      <c r="AA47" s="10">
        <f t="shared" si="5"/>
        <v>4</v>
      </c>
      <c r="AB47" s="10">
        <f t="shared" si="6"/>
        <v>1.145</v>
      </c>
      <c r="AC47" s="10">
        <f t="shared" si="7"/>
        <v>10.961538461538462</v>
      </c>
      <c r="AD47" s="10">
        <f t="shared" si="8"/>
        <v>14</v>
      </c>
      <c r="AE47" t="s">
        <v>52</v>
      </c>
      <c r="AF47" s="10">
        <v>0.85851323999999996</v>
      </c>
      <c r="AG47" s="10">
        <v>0.56995565000000004</v>
      </c>
      <c r="AH47" s="10">
        <v>0.78973698999999997</v>
      </c>
      <c r="AI47" s="10">
        <v>0.79609459999999999</v>
      </c>
      <c r="AJ47" s="10">
        <v>0.98838168000000004</v>
      </c>
      <c r="AK47" s="10">
        <v>0.98476505000000003</v>
      </c>
      <c r="AL47" s="10">
        <v>1.3017291</v>
      </c>
      <c r="AM47" s="10">
        <v>1.1173549</v>
      </c>
      <c r="AN47" s="10">
        <v>1.3604262</v>
      </c>
      <c r="AO47" s="10">
        <v>1.4596701999999999</v>
      </c>
      <c r="AP47" s="10">
        <v>2.2898569107055664</v>
      </c>
      <c r="AQ47" s="10">
        <v>3.0096256732940674</v>
      </c>
      <c r="AR47" s="10">
        <v>3.616208553314209</v>
      </c>
      <c r="AS47" s="10">
        <v>4.2098221778869629</v>
      </c>
      <c r="AT47" s="10">
        <v>5.0135917663574219</v>
      </c>
      <c r="AU47" s="10">
        <v>5.9130825996398926</v>
      </c>
      <c r="AV47" s="10">
        <v>6.7753720283508301</v>
      </c>
      <c r="AW47" s="10">
        <v>17.400253295898438</v>
      </c>
      <c r="AX47" s="10">
        <v>11.526938438415527</v>
      </c>
      <c r="AY47" s="10">
        <v>11.960132598876953</v>
      </c>
      <c r="AZ47" s="10">
        <v>9.9866323471069336</v>
      </c>
      <c r="BA47" s="10">
        <v>10.428341865539551</v>
      </c>
      <c r="BB47" s="10">
        <v>13.815679550170898</v>
      </c>
      <c r="BC47" s="10">
        <v>12.686237335205078</v>
      </c>
      <c r="BD47" s="10">
        <v>13.020634651184082</v>
      </c>
      <c r="BE47" s="10">
        <v>14.242728233337402</v>
      </c>
      <c r="BF47" s="10">
        <v>16.840581893920898</v>
      </c>
      <c r="BG47" s="10">
        <v>15.199233055114746</v>
      </c>
      <c r="BH47" s="10">
        <v>13.33769702911377</v>
      </c>
      <c r="BI47" s="10">
        <v>3.211061954498291</v>
      </c>
      <c r="BJ47" s="10">
        <v>2.7340011596679688</v>
      </c>
      <c r="BK47" s="10">
        <v>3.4730479717254639</v>
      </c>
      <c r="BL47" s="10">
        <v>5.5034208297729492</v>
      </c>
      <c r="BM47" s="10">
        <v>16.887499999999999</v>
      </c>
      <c r="BN47" s="10">
        <v>31.15</v>
      </c>
      <c r="BO47" s="10">
        <v>50.45</v>
      </c>
      <c r="BP47" s="10">
        <v>23.625</v>
      </c>
      <c r="BQ47" s="10">
        <v>31.58</v>
      </c>
      <c r="BR47" s="10">
        <v>23.5</v>
      </c>
      <c r="BS47" s="10">
        <v>31.516666666666666</v>
      </c>
      <c r="BT47" s="10">
        <v>40.25</v>
      </c>
      <c r="BU47" s="10">
        <v>38.524999999999999</v>
      </c>
      <c r="BV47" s="10">
        <v>39.225000000000001</v>
      </c>
      <c r="BW47" s="10">
        <v>42.970588235294116</v>
      </c>
      <c r="BX47" s="10">
        <v>48.1</v>
      </c>
      <c r="BY47" s="10">
        <v>48.633333333333333</v>
      </c>
      <c r="BZ47" s="10">
        <v>21.875</v>
      </c>
      <c r="CA47" s="10">
        <v>37.9</v>
      </c>
      <c r="CB47" s="10">
        <v>32.65</v>
      </c>
      <c r="CC47" s="10">
        <v>48.375</v>
      </c>
      <c r="CD47" s="10">
        <v>45.678571428571431</v>
      </c>
      <c r="CE47" s="10">
        <v>51.1</v>
      </c>
      <c r="CF47" s="10">
        <v>51.115384615384613</v>
      </c>
      <c r="CG47" s="10">
        <v>51.5</v>
      </c>
      <c r="CH47" s="10">
        <v>53.722222222222221</v>
      </c>
      <c r="CI47" s="10">
        <v>55.1875</v>
      </c>
      <c r="CJ47" s="10">
        <v>57.642857142857146</v>
      </c>
      <c r="CK47" s="10">
        <v>57.5</v>
      </c>
      <c r="CL47" s="10">
        <v>54.214285714285715</v>
      </c>
      <c r="CM47" s="10">
        <v>59.1</v>
      </c>
      <c r="CN47" s="10">
        <v>61.166666666666664</v>
      </c>
      <c r="CO47" s="10">
        <v>51.5</v>
      </c>
      <c r="CP47" s="10">
        <v>5.541666666666667</v>
      </c>
      <c r="CQ47" s="10">
        <v>5.21</v>
      </c>
      <c r="CR47" s="10">
        <v>6.26</v>
      </c>
      <c r="CS47" s="10">
        <v>8.8833333333333329</v>
      </c>
      <c r="CT47" s="10">
        <v>7.65</v>
      </c>
      <c r="CU47" s="10">
        <v>10.66</v>
      </c>
      <c r="CV47" s="10">
        <v>9.625</v>
      </c>
      <c r="CW47" s="10">
        <v>10.025</v>
      </c>
      <c r="CX47" s="10">
        <v>16.100000000000001</v>
      </c>
      <c r="CY47" s="10">
        <v>14.05</v>
      </c>
      <c r="CZ47" s="10">
        <v>13.233333333333333</v>
      </c>
      <c r="DA47" s="10">
        <v>16.25</v>
      </c>
      <c r="DB47" s="10">
        <v>20.576923076923077</v>
      </c>
      <c r="DC47" s="10">
        <v>20.357142857142858</v>
      </c>
      <c r="DD47" s="10">
        <v>17.807692307692307</v>
      </c>
      <c r="DE47" s="10">
        <v>2.7583333333333333</v>
      </c>
      <c r="DF47" s="10">
        <v>2.6680672268907561</v>
      </c>
      <c r="DG47" s="10">
        <v>5.583333333333333</v>
      </c>
      <c r="DH47" s="10">
        <v>20.625</v>
      </c>
      <c r="DI47" s="10">
        <v>22.166666666666668</v>
      </c>
      <c r="DJ47" s="10">
        <v>25.4375</v>
      </c>
      <c r="DK47" s="10">
        <v>23.5</v>
      </c>
      <c r="DL47" s="10">
        <v>25.5</v>
      </c>
      <c r="DM47" s="10">
        <v>1.575</v>
      </c>
      <c r="DN47" s="10">
        <v>2.5099999999999998</v>
      </c>
      <c r="DO47" s="10">
        <v>3.03</v>
      </c>
      <c r="DP47" s="10">
        <v>5.5374999999999996</v>
      </c>
      <c r="DQ47" s="10">
        <v>2.99</v>
      </c>
      <c r="DR47" s="10">
        <v>16.875</v>
      </c>
      <c r="DS47" s="10">
        <v>18.899999999999999</v>
      </c>
      <c r="DT47" s="10">
        <v>10.98</v>
      </c>
      <c r="DU47" s="10">
        <v>4.2833333333333332</v>
      </c>
      <c r="DV47" s="10">
        <v>3.4031100478468903</v>
      </c>
      <c r="DW47" s="10">
        <v>8.4259259259259256</v>
      </c>
      <c r="DX47" s="10">
        <v>7.2750000000000004</v>
      </c>
      <c r="DY47" s="10">
        <v>1.145</v>
      </c>
      <c r="DZ47" s="10">
        <v>2.0166666666666666</v>
      </c>
      <c r="EA47" s="10">
        <v>3.5375000000000001</v>
      </c>
      <c r="EB47" s="10">
        <v>5.0750000000000002</v>
      </c>
      <c r="EC47" s="10">
        <v>5.15</v>
      </c>
      <c r="ED47" s="10">
        <v>6.22</v>
      </c>
      <c r="EE47" s="10">
        <v>6.5666666666666664</v>
      </c>
      <c r="EF47" s="10">
        <v>6.15</v>
      </c>
      <c r="EG47" s="10">
        <v>8.0384615384615383</v>
      </c>
      <c r="EH47" s="10">
        <v>8.8055555555555554</v>
      </c>
      <c r="EI47" s="10">
        <v>7.85</v>
      </c>
      <c r="EJ47" s="10">
        <v>10.961538461538462</v>
      </c>
      <c r="EK47" s="10">
        <v>8.9666666666666668</v>
      </c>
      <c r="EL47" s="10">
        <v>6.1749999999999998</v>
      </c>
      <c r="EM47" s="10">
        <v>15.831250000000001</v>
      </c>
      <c r="EN47" s="10">
        <v>14.215277777777779</v>
      </c>
      <c r="EO47" s="10">
        <v>5.8030303030303028</v>
      </c>
      <c r="EP47" s="10">
        <v>4.8409090909090908</v>
      </c>
      <c r="EQ47" s="10">
        <v>3.9750000000000001</v>
      </c>
      <c r="ER47" s="10">
        <v>8.2583333333333329</v>
      </c>
      <c r="ES47" s="10">
        <v>3.2071428571428573</v>
      </c>
      <c r="ET47" s="10">
        <v>2.6714285714285713</v>
      </c>
      <c r="EU47" s="10">
        <v>2.7380952380952381</v>
      </c>
      <c r="EV47" s="10">
        <v>3.2749999999999999</v>
      </c>
      <c r="EW47" s="10">
        <v>5.07</v>
      </c>
      <c r="EX47" s="10">
        <v>2.1</v>
      </c>
      <c r="EY47" s="10">
        <v>1.8166666666666667</v>
      </c>
      <c r="EZ47" s="10">
        <v>2.1749999999999998</v>
      </c>
      <c r="FA47" s="10">
        <v>2.09375</v>
      </c>
      <c r="FB47" s="10">
        <v>4.773076923076923</v>
      </c>
      <c r="FC47" s="10">
        <v>0.93452380952380953</v>
      </c>
      <c r="FD47" s="10">
        <v>1.8428571428571427</v>
      </c>
      <c r="FE47" s="10">
        <v>2.2200000000000002</v>
      </c>
      <c r="FF47" s="10">
        <v>2.3250000000000002</v>
      </c>
      <c r="FG47" s="10">
        <v>2.453125</v>
      </c>
      <c r="FH47" s="10">
        <v>0.9337349397590361</v>
      </c>
      <c r="FI47" s="10">
        <v>1.6833333333333333</v>
      </c>
      <c r="FJ47" s="10">
        <v>2.38</v>
      </c>
      <c r="FK47" s="10">
        <v>3.3250000000000002</v>
      </c>
    </row>
    <row r="48" spans="3:167" x14ac:dyDescent="0.2">
      <c r="C48" s="10">
        <f t="shared" si="9"/>
        <v>0.88131934000000001</v>
      </c>
      <c r="D48" s="10">
        <f t="shared" si="10"/>
        <v>80.5</v>
      </c>
      <c r="E48" s="10" cm="1">
        <f t="array" ref="E48">gavg(AF48,EL48)</f>
        <v>13.293978951356587</v>
      </c>
      <c r="F48" s="10" cm="1">
        <f t="array" ref="F48">lnstdev(AF48,EL48)</f>
        <v>1.0712493189625929</v>
      </c>
      <c r="G48" s="10">
        <f t="shared" si="11"/>
        <v>111</v>
      </c>
      <c r="H48" s="10">
        <f t="shared" si="12"/>
        <v>0.88131934000000001</v>
      </c>
      <c r="I48" s="10">
        <f t="shared" si="13"/>
        <v>3.3563442000000001</v>
      </c>
      <c r="J48" s="10"/>
      <c r="K48" s="10"/>
      <c r="L48" s="10">
        <f t="shared" si="14"/>
        <v>10</v>
      </c>
      <c r="M48" s="10">
        <f t="shared" si="15"/>
        <v>5.6535253524780273</v>
      </c>
      <c r="N48" s="10">
        <f t="shared" si="16"/>
        <v>37.950664520263672</v>
      </c>
      <c r="O48" s="10">
        <f t="shared" si="17"/>
        <v>23</v>
      </c>
      <c r="P48" s="10">
        <f t="shared" si="18"/>
        <v>15.3125</v>
      </c>
      <c r="Q48" s="10">
        <f t="shared" si="19"/>
        <v>80.5</v>
      </c>
      <c r="R48" s="10">
        <f t="shared" si="20"/>
        <v>29</v>
      </c>
      <c r="S48" s="10">
        <f t="shared" si="21"/>
        <v>3.5150000000000001</v>
      </c>
      <c r="T48" s="10">
        <f t="shared" si="22"/>
        <v>26.3125</v>
      </c>
      <c r="U48" s="10">
        <f t="shared" si="23"/>
        <v>31</v>
      </c>
      <c r="V48" s="10">
        <f t="shared" si="0"/>
        <v>2.145</v>
      </c>
      <c r="W48" s="10">
        <f t="shared" si="1"/>
        <v>12.653846153846153</v>
      </c>
      <c r="X48" s="10">
        <f t="shared" si="2"/>
        <v>18</v>
      </c>
      <c r="Y48" s="10">
        <f t="shared" si="3"/>
        <v>3.4270334928229667</v>
      </c>
      <c r="Z48" s="10">
        <f t="shared" si="4"/>
        <v>9.375</v>
      </c>
      <c r="AA48" s="10">
        <f t="shared" si="5"/>
        <v>4</v>
      </c>
      <c r="AB48" s="10">
        <f t="shared" si="6"/>
        <v>2.145</v>
      </c>
      <c r="AC48" s="10">
        <f t="shared" si="7"/>
        <v>12.653846153846153</v>
      </c>
      <c r="AD48" s="10">
        <f t="shared" si="8"/>
        <v>14</v>
      </c>
      <c r="AE48" t="s">
        <v>53</v>
      </c>
      <c r="AF48" s="10">
        <v>0.88131934000000001</v>
      </c>
      <c r="AG48" s="10">
        <v>1.5404176999999999</v>
      </c>
      <c r="AH48" s="10">
        <v>1.5807108999999999</v>
      </c>
      <c r="AI48" s="10">
        <v>1.6706711999999999</v>
      </c>
      <c r="AJ48" s="10">
        <v>1.7126455</v>
      </c>
      <c r="AK48" s="10">
        <v>3.3563442000000001</v>
      </c>
      <c r="AL48" s="10">
        <v>1.9296363999999999</v>
      </c>
      <c r="AM48" s="10">
        <v>2.064743</v>
      </c>
      <c r="AN48" s="10">
        <v>2.3057989999999999</v>
      </c>
      <c r="AO48" s="10">
        <v>2.9341691000000001</v>
      </c>
      <c r="AP48" s="10">
        <v>5.6535253524780273</v>
      </c>
      <c r="AQ48" s="10">
        <v>6.6663899421691895</v>
      </c>
      <c r="AR48" s="10">
        <v>7.8529043197631836</v>
      </c>
      <c r="AS48" s="10">
        <v>7.9932441711425781</v>
      </c>
      <c r="AT48" s="10">
        <v>10.061701774597168</v>
      </c>
      <c r="AU48" s="10">
        <v>13.115015983581543</v>
      </c>
      <c r="AV48" s="10">
        <v>14.329392433166504</v>
      </c>
      <c r="AW48" s="10">
        <v>18.290790557861328</v>
      </c>
      <c r="AX48" s="10">
        <v>16.237955093383789</v>
      </c>
      <c r="AY48" s="10">
        <v>17.024524688720703</v>
      </c>
      <c r="AZ48" s="10">
        <v>25.042129516601563</v>
      </c>
      <c r="BA48" s="10">
        <v>21.804584503173828</v>
      </c>
      <c r="BB48" s="10">
        <v>25.110864639282227</v>
      </c>
      <c r="BC48" s="10">
        <v>26.037069320678711</v>
      </c>
      <c r="BD48" s="10">
        <v>26.059869766235352</v>
      </c>
      <c r="BE48" s="10">
        <v>27.694759368896484</v>
      </c>
      <c r="BF48" s="10">
        <v>27.027027130126953</v>
      </c>
      <c r="BG48" s="10">
        <v>37.950664520263672</v>
      </c>
      <c r="BH48" s="10">
        <v>27.866046905517578</v>
      </c>
      <c r="BI48" s="10">
        <v>5.9987740516662598</v>
      </c>
      <c r="BJ48" s="10">
        <v>6.7988953590393066</v>
      </c>
      <c r="BK48" s="10">
        <v>6.8359279632568359</v>
      </c>
      <c r="BL48" s="10">
        <v>10.252276420593262</v>
      </c>
      <c r="BM48" s="10">
        <v>15.3125</v>
      </c>
      <c r="BN48" s="10">
        <v>35.75</v>
      </c>
      <c r="BO48" s="10">
        <v>56.05</v>
      </c>
      <c r="BP48" s="10">
        <v>22.925000000000001</v>
      </c>
      <c r="BQ48" s="10">
        <v>38.54</v>
      </c>
      <c r="BR48" s="10">
        <v>27.7</v>
      </c>
      <c r="BS48" s="10">
        <v>34.416666666666664</v>
      </c>
      <c r="BT48" s="10">
        <v>39.65</v>
      </c>
      <c r="BU48" s="10">
        <v>42.924999999999997</v>
      </c>
      <c r="BV48" s="10">
        <v>43.274999999999999</v>
      </c>
      <c r="BW48" s="10">
        <v>46.617647058823529</v>
      </c>
      <c r="BX48" s="10">
        <v>47.966666666666669</v>
      </c>
      <c r="BY48" s="10">
        <v>57.833333333333336</v>
      </c>
      <c r="BZ48" s="10">
        <v>20.791666666666668</v>
      </c>
      <c r="CA48" s="10">
        <v>42.7</v>
      </c>
      <c r="CB48" s="10">
        <v>34.25</v>
      </c>
      <c r="CC48" s="10">
        <v>61.625</v>
      </c>
      <c r="CD48" s="10">
        <v>58.107142857142854</v>
      </c>
      <c r="CE48" s="10">
        <v>57.033333333333331</v>
      </c>
      <c r="CF48" s="10">
        <v>52.269230769230766</v>
      </c>
      <c r="CG48" s="10">
        <v>64.722222222222229</v>
      </c>
      <c r="CH48" s="10">
        <v>74.277777777777771</v>
      </c>
      <c r="CI48" s="10">
        <v>71.6875</v>
      </c>
      <c r="CJ48" s="10">
        <v>67.785714285714292</v>
      </c>
      <c r="CK48" s="10">
        <v>75.5</v>
      </c>
      <c r="CL48" s="10">
        <v>77.5</v>
      </c>
      <c r="CM48" s="10">
        <v>68.099999999999994</v>
      </c>
      <c r="CN48" s="10">
        <v>65.833333333333329</v>
      </c>
      <c r="CO48" s="10">
        <v>80.5</v>
      </c>
      <c r="CP48" s="10">
        <v>7.4249999999999998</v>
      </c>
      <c r="CQ48" s="10">
        <v>6.93</v>
      </c>
      <c r="CR48" s="10">
        <v>8.5399999999999991</v>
      </c>
      <c r="CS48" s="10">
        <v>6.916666666666667</v>
      </c>
      <c r="CT48" s="10">
        <v>10.116666666666667</v>
      </c>
      <c r="CU48" s="10">
        <v>9.94</v>
      </c>
      <c r="CV48" s="10">
        <v>12.925000000000001</v>
      </c>
      <c r="CW48" s="10">
        <v>10.725</v>
      </c>
      <c r="CX48" s="10">
        <v>16.766666666666666</v>
      </c>
      <c r="CY48" s="10">
        <v>16.649999999999999</v>
      </c>
      <c r="CZ48" s="10">
        <v>17.7</v>
      </c>
      <c r="DA48" s="10">
        <v>16.350000000000001</v>
      </c>
      <c r="DB48" s="10">
        <v>18.653846153846153</v>
      </c>
      <c r="DC48" s="10">
        <v>20.928571428571427</v>
      </c>
      <c r="DD48" s="10">
        <v>18.73076923076923</v>
      </c>
      <c r="DE48" s="10">
        <v>3.8583333333333334</v>
      </c>
      <c r="DF48" s="10">
        <v>4.1134453781512601</v>
      </c>
      <c r="DG48" s="10">
        <v>5.7166666666666668</v>
      </c>
      <c r="DH48" s="10">
        <v>19.541666666666668</v>
      </c>
      <c r="DI48" s="10">
        <v>21.366666666666667</v>
      </c>
      <c r="DJ48" s="10">
        <v>26.3125</v>
      </c>
      <c r="DK48" s="10">
        <v>24.5</v>
      </c>
      <c r="DL48" s="10">
        <v>25.5</v>
      </c>
      <c r="DM48" s="10">
        <v>3.5150000000000001</v>
      </c>
      <c r="DN48" s="10">
        <v>4.8499999999999996</v>
      </c>
      <c r="DO48" s="10">
        <v>4.1100000000000003</v>
      </c>
      <c r="DP48" s="10">
        <v>6.6124999999999998</v>
      </c>
      <c r="DQ48" s="10">
        <v>3.97</v>
      </c>
      <c r="DR48" s="10">
        <v>14.775</v>
      </c>
      <c r="DS48" s="10">
        <v>20.566666666666666</v>
      </c>
      <c r="DT48" s="10">
        <v>11.14</v>
      </c>
      <c r="DU48" s="10">
        <v>5.6166666666666663</v>
      </c>
      <c r="DV48" s="10">
        <v>3.4270334928229667</v>
      </c>
      <c r="DW48" s="10">
        <v>8.0925925925925934</v>
      </c>
      <c r="DX48" s="10">
        <v>9.375</v>
      </c>
      <c r="DY48" s="10">
        <v>2.145</v>
      </c>
      <c r="DZ48" s="10">
        <v>3.0833333333333335</v>
      </c>
      <c r="EA48" s="10">
        <v>4.2125000000000004</v>
      </c>
      <c r="EB48" s="10">
        <v>5.5250000000000004</v>
      </c>
      <c r="EC48" s="10">
        <v>6.15</v>
      </c>
      <c r="ED48" s="10">
        <v>6.42</v>
      </c>
      <c r="EE48" s="10">
        <v>7.5</v>
      </c>
      <c r="EF48" s="10">
        <v>8.35</v>
      </c>
      <c r="EG48" s="10">
        <v>9.115384615384615</v>
      </c>
      <c r="EH48" s="10">
        <v>9.9166666666666661</v>
      </c>
      <c r="EI48" s="10">
        <v>8.9499999999999993</v>
      </c>
      <c r="EJ48" s="10">
        <v>12.653846153846153</v>
      </c>
      <c r="EK48" s="10">
        <v>10.833333333333334</v>
      </c>
      <c r="EL48" s="10">
        <v>8.5250000000000004</v>
      </c>
      <c r="EM48" s="10">
        <v>20.731249999999999</v>
      </c>
      <c r="EN48" s="10">
        <v>10.159722222222221</v>
      </c>
      <c r="EO48" s="10">
        <v>10.257575757575758</v>
      </c>
      <c r="EP48" s="10">
        <v>7.2045454545454541</v>
      </c>
      <c r="EQ48" s="10">
        <v>5.4249999999999998</v>
      </c>
      <c r="ER48" s="10">
        <v>19.308333333333334</v>
      </c>
      <c r="ES48" s="10">
        <v>11.014285714285714</v>
      </c>
      <c r="ET48" s="10">
        <v>1.9</v>
      </c>
      <c r="EU48" s="10">
        <v>3.7380952380952381</v>
      </c>
      <c r="EV48" s="10">
        <v>3.625</v>
      </c>
      <c r="EW48" s="10">
        <v>17.39</v>
      </c>
      <c r="EX48" s="10">
        <v>10.42</v>
      </c>
      <c r="EY48" s="10">
        <v>2.8166666666666669</v>
      </c>
      <c r="EZ48" s="10">
        <v>3.125</v>
      </c>
      <c r="FA48" s="10">
        <v>4.65625</v>
      </c>
      <c r="FB48" s="10">
        <v>19.634615384615383</v>
      </c>
      <c r="FC48" s="10">
        <v>2.1964285714285716</v>
      </c>
      <c r="FD48" s="10">
        <v>2.4142857142857141</v>
      </c>
      <c r="FE48" s="10">
        <v>4.1399999999999997</v>
      </c>
      <c r="FF48" s="10">
        <v>4.7750000000000004</v>
      </c>
      <c r="FG48" s="10">
        <v>11.028124999999999</v>
      </c>
      <c r="FH48" s="10">
        <v>2.4397590361445785</v>
      </c>
      <c r="FI48" s="10">
        <v>3.35</v>
      </c>
      <c r="FJ48" s="10">
        <v>4.9400000000000004</v>
      </c>
      <c r="FK48" s="10">
        <v>5.125</v>
      </c>
    </row>
    <row r="49" spans="3:167" x14ac:dyDescent="0.2">
      <c r="C49" s="10">
        <f t="shared" si="9"/>
        <v>0.52593714000000003</v>
      </c>
      <c r="D49" s="10">
        <f t="shared" si="10"/>
        <v>71.431327819824219</v>
      </c>
      <c r="E49" s="10" cm="1">
        <f t="array" ref="E49">gavg(AF49,EL49)</f>
        <v>10.915203771045521</v>
      </c>
      <c r="F49" s="10" cm="1">
        <f t="array" ref="F49">lnstdev(AF49,EL49)</f>
        <v>1.194547924783129</v>
      </c>
      <c r="G49" s="10">
        <f t="shared" si="11"/>
        <v>111</v>
      </c>
      <c r="H49" s="10">
        <f t="shared" si="12"/>
        <v>0.52593714000000003</v>
      </c>
      <c r="I49" s="10">
        <f t="shared" si="13"/>
        <v>1.5792394999999999</v>
      </c>
      <c r="J49" s="10"/>
      <c r="K49" s="10"/>
      <c r="L49" s="10">
        <f t="shared" si="14"/>
        <v>10</v>
      </c>
      <c r="M49" s="10">
        <f t="shared" si="15"/>
        <v>2.2869775295257568</v>
      </c>
      <c r="N49" s="10">
        <f t="shared" si="16"/>
        <v>17.012954711914063</v>
      </c>
      <c r="O49" s="10">
        <f t="shared" si="17"/>
        <v>23</v>
      </c>
      <c r="P49" s="10">
        <f t="shared" si="18"/>
        <v>16.385560989379883</v>
      </c>
      <c r="Q49" s="10">
        <f t="shared" si="19"/>
        <v>71.431327819824219</v>
      </c>
      <c r="R49" s="10">
        <f t="shared" si="20"/>
        <v>29</v>
      </c>
      <c r="S49" s="10">
        <f t="shared" si="21"/>
        <v>3.377718448638916</v>
      </c>
      <c r="T49" s="10">
        <f t="shared" si="22"/>
        <v>29.787439346313477</v>
      </c>
      <c r="U49" s="10">
        <f t="shared" si="23"/>
        <v>31</v>
      </c>
      <c r="V49" s="10">
        <f t="shared" si="0"/>
        <v>1.4345191717147827</v>
      </c>
      <c r="W49" s="10">
        <f t="shared" si="1"/>
        <v>12.249966621398926</v>
      </c>
      <c r="X49" s="10">
        <f t="shared" si="2"/>
        <v>18</v>
      </c>
      <c r="Y49" s="10">
        <f t="shared" si="3"/>
        <v>3.5689833164215088</v>
      </c>
      <c r="Z49" s="10">
        <f t="shared" si="4"/>
        <v>8.4179792404174805</v>
      </c>
      <c r="AA49" s="10">
        <f t="shared" si="5"/>
        <v>4</v>
      </c>
      <c r="AB49" s="10">
        <f t="shared" si="6"/>
        <v>1.4345191717147827</v>
      </c>
      <c r="AC49" s="10">
        <f t="shared" si="7"/>
        <v>12.249966621398926</v>
      </c>
      <c r="AD49" s="10">
        <f t="shared" si="8"/>
        <v>14</v>
      </c>
      <c r="AE49" t="s">
        <v>54</v>
      </c>
      <c r="AF49" s="10">
        <v>0.85919582999999999</v>
      </c>
      <c r="AG49" s="10">
        <v>0.52593714000000003</v>
      </c>
      <c r="AH49" s="10">
        <v>0.79564166000000003</v>
      </c>
      <c r="AI49" s="10">
        <v>0.80683534999999995</v>
      </c>
      <c r="AJ49" s="10">
        <v>1.0435084999999999</v>
      </c>
      <c r="AK49" s="10">
        <v>1.0080571</v>
      </c>
      <c r="AL49" s="10">
        <v>1.1620999999999999</v>
      </c>
      <c r="AM49" s="10">
        <v>1.2521793000000001</v>
      </c>
      <c r="AN49" s="10">
        <v>1.3462928999999999</v>
      </c>
      <c r="AO49" s="10">
        <v>1.5792394999999999</v>
      </c>
      <c r="AP49" s="10">
        <v>2.2869775295257568</v>
      </c>
      <c r="AQ49" s="10">
        <v>2.6934561729431152</v>
      </c>
      <c r="AR49" s="10">
        <v>3.3955385684967041</v>
      </c>
      <c r="AS49" s="10">
        <v>4.9729442596435547</v>
      </c>
      <c r="AT49" s="10">
        <v>6.8517794609069824</v>
      </c>
      <c r="AU49" s="10">
        <v>6.2158675193786621</v>
      </c>
      <c r="AV49" s="10">
        <v>7.3153076171875</v>
      </c>
      <c r="AW49" s="10">
        <v>13.281026840209961</v>
      </c>
      <c r="AX49" s="10">
        <v>11.142818450927734</v>
      </c>
      <c r="AY49" s="10">
        <v>11.228076934814453</v>
      </c>
      <c r="AZ49" s="10">
        <v>10.706969261169434</v>
      </c>
      <c r="BA49" s="10">
        <v>11.317923545837402</v>
      </c>
      <c r="BB49" s="10">
        <v>13.068622589111328</v>
      </c>
      <c r="BC49" s="10">
        <v>13.030488967895508</v>
      </c>
      <c r="BD49" s="10">
        <v>15.48020076751709</v>
      </c>
      <c r="BE49" s="10">
        <v>15.118330955505371</v>
      </c>
      <c r="BF49" s="10">
        <v>17.012954711914063</v>
      </c>
      <c r="BG49" s="10">
        <v>15.79238224029541</v>
      </c>
      <c r="BH49" s="10">
        <v>15.189618110656738</v>
      </c>
      <c r="BI49" s="10">
        <v>2.5437564849853516</v>
      </c>
      <c r="BJ49" s="10">
        <v>2.9007568359375</v>
      </c>
      <c r="BK49" s="10">
        <v>3.0641574859619141</v>
      </c>
      <c r="BL49" s="10">
        <v>5.2260665893554688</v>
      </c>
      <c r="BM49" s="10">
        <v>16.385560989379883</v>
      </c>
      <c r="BN49" s="10">
        <v>32.678112030029297</v>
      </c>
      <c r="BO49" s="10">
        <v>54.658504486083984</v>
      </c>
      <c r="BP49" s="10">
        <v>22.208671569824219</v>
      </c>
      <c r="BQ49" s="10">
        <v>31.661693572998047</v>
      </c>
      <c r="BR49" s="10">
        <v>26.413461685180664</v>
      </c>
      <c r="BS49" s="10">
        <v>31.086711883544922</v>
      </c>
      <c r="BT49" s="10">
        <v>38.948356628417969</v>
      </c>
      <c r="BU49" s="10">
        <v>40.552192687988281</v>
      </c>
      <c r="BV49" s="10">
        <v>41.239238739013672</v>
      </c>
      <c r="BW49" s="10">
        <v>44.113723754882813</v>
      </c>
      <c r="BX49" s="10">
        <v>48.358680725097656</v>
      </c>
      <c r="BY49" s="10">
        <v>51.247882843017578</v>
      </c>
      <c r="BZ49" s="10">
        <v>23.152776718139648</v>
      </c>
      <c r="CA49" s="10">
        <v>37.781036376953125</v>
      </c>
      <c r="CB49" s="10">
        <v>35.999794006347656</v>
      </c>
      <c r="CC49" s="10">
        <v>55.048149108886719</v>
      </c>
      <c r="CD49" s="10">
        <v>53.813125610351563</v>
      </c>
      <c r="CE49" s="10">
        <v>56.166248321533203</v>
      </c>
      <c r="CF49" s="10">
        <v>56.250526428222656</v>
      </c>
      <c r="CG49" s="10">
        <v>59.616054534912109</v>
      </c>
      <c r="CH49" s="10">
        <v>61.697956085205078</v>
      </c>
      <c r="CI49" s="10">
        <v>65.771171569824219</v>
      </c>
      <c r="CJ49" s="10">
        <v>65.420585632324219</v>
      </c>
      <c r="CK49" s="10">
        <v>65.568077087402344</v>
      </c>
      <c r="CL49" s="10">
        <v>66.785934448242188</v>
      </c>
      <c r="CM49" s="10">
        <v>71.431327819824219</v>
      </c>
      <c r="CN49" s="10">
        <v>66.163787841796875</v>
      </c>
      <c r="CO49" s="10">
        <v>64.244522094726563</v>
      </c>
      <c r="CP49" s="10">
        <v>6.1768674850463867</v>
      </c>
      <c r="CQ49" s="10">
        <v>6.544135570526123</v>
      </c>
      <c r="CR49" s="10">
        <v>7.4453835487365723</v>
      </c>
      <c r="CS49" s="10">
        <v>9.5023736953735352</v>
      </c>
      <c r="CT49" s="10">
        <v>10.725067138671875</v>
      </c>
      <c r="CU49" s="10">
        <v>11.247200965881348</v>
      </c>
      <c r="CV49" s="10">
        <v>11.17162036895752</v>
      </c>
      <c r="CW49" s="10">
        <v>12.541152000427246</v>
      </c>
      <c r="CX49" s="10">
        <v>15.924321174621582</v>
      </c>
      <c r="CY49" s="10">
        <v>15.46462345123291</v>
      </c>
      <c r="CZ49" s="10">
        <v>17.972011566162109</v>
      </c>
      <c r="DA49" s="10">
        <v>18.96087646484375</v>
      </c>
      <c r="DB49" s="10">
        <v>22.244966506958008</v>
      </c>
      <c r="DC49" s="10">
        <v>22.07813835144043</v>
      </c>
      <c r="DD49" s="10">
        <v>18.751686096191406</v>
      </c>
      <c r="DE49" s="10">
        <v>5.0338754653930664</v>
      </c>
      <c r="DF49" s="10">
        <v>3.7631795406341553</v>
      </c>
      <c r="DG49" s="10">
        <v>6.8511719703674316</v>
      </c>
      <c r="DH49" s="10">
        <v>21.927358627319336</v>
      </c>
      <c r="DI49" s="10">
        <v>23.294075012207031</v>
      </c>
      <c r="DJ49" s="10">
        <v>26.122421264648438</v>
      </c>
      <c r="DK49" s="10">
        <v>24.819311141967773</v>
      </c>
      <c r="DL49" s="10">
        <v>29.787439346313477</v>
      </c>
      <c r="DM49" s="10">
        <v>3.377718448638916</v>
      </c>
      <c r="DN49" s="10">
        <v>4.2463240623474121</v>
      </c>
      <c r="DO49" s="10">
        <v>4.1580119132995605</v>
      </c>
      <c r="DP49" s="10">
        <v>6.0074386596679688</v>
      </c>
      <c r="DQ49" s="10">
        <v>4.2372984886169434</v>
      </c>
      <c r="DR49" s="10">
        <v>17.558187484741211</v>
      </c>
      <c r="DS49" s="10">
        <v>18.906984329223633</v>
      </c>
      <c r="DT49" s="10">
        <v>11.876139640808105</v>
      </c>
      <c r="DU49" s="10">
        <v>4.8641242980957031</v>
      </c>
      <c r="DV49" s="10">
        <v>3.5689833164215088</v>
      </c>
      <c r="DW49" s="10">
        <v>8.4179792404174805</v>
      </c>
      <c r="DX49" s="10">
        <v>7.5807113647460938</v>
      </c>
      <c r="DY49" s="10">
        <v>1.4345191717147827</v>
      </c>
      <c r="DZ49" s="10">
        <v>3.3787875175476074</v>
      </c>
      <c r="EA49" s="10">
        <v>4.2483725547790527</v>
      </c>
      <c r="EB49" s="10">
        <v>6.2778902053833008</v>
      </c>
      <c r="EC49" s="10">
        <v>7.1801972389221191</v>
      </c>
      <c r="ED49" s="10">
        <v>7.1144113540649414</v>
      </c>
      <c r="EE49" s="10">
        <v>7.2136259078979492</v>
      </c>
      <c r="EF49" s="10">
        <v>10.787247657775879</v>
      </c>
      <c r="EG49" s="10">
        <v>10.747384071350098</v>
      </c>
      <c r="EH49" s="10">
        <v>12.249966621398926</v>
      </c>
      <c r="EI49" s="10">
        <v>9.0937948226928711</v>
      </c>
      <c r="EJ49" s="10">
        <v>11.461991310119629</v>
      </c>
      <c r="EK49" s="10">
        <v>11.076296806335449</v>
      </c>
      <c r="EL49" s="10">
        <v>7.6116943359375</v>
      </c>
      <c r="EM49" s="10">
        <v>15.832607269287109</v>
      </c>
      <c r="EN49" s="10">
        <v>14.382380485534668</v>
      </c>
      <c r="EO49" s="10">
        <v>7.0259099006652832</v>
      </c>
      <c r="EP49" s="10">
        <v>7.6715621948242188</v>
      </c>
      <c r="EQ49" s="10">
        <v>5.683474063873291</v>
      </c>
      <c r="ER49" s="10">
        <v>10.290253639221191</v>
      </c>
      <c r="ES49" s="10">
        <v>4.413691520690918</v>
      </c>
      <c r="ET49" s="10">
        <v>5.1365599632263184</v>
      </c>
      <c r="EU49" s="10">
        <v>3.1091883182525635</v>
      </c>
      <c r="EV49" s="10">
        <v>4.204246997833252</v>
      </c>
      <c r="EW49" s="10">
        <v>6.8019313812255859</v>
      </c>
      <c r="EX49" s="10">
        <v>2.8194675445556641</v>
      </c>
      <c r="EY49" s="10">
        <v>4.2954850196838379</v>
      </c>
      <c r="EZ49" s="10">
        <v>4.9755287170410156</v>
      </c>
      <c r="FA49" s="10">
        <v>6.1837658882141113</v>
      </c>
      <c r="FB49" s="10">
        <v>6.1651835441589355</v>
      </c>
      <c r="FC49" s="10">
        <v>1.269965648651123</v>
      </c>
      <c r="FD49" s="10">
        <v>3.5055313110351563</v>
      </c>
      <c r="FE49" s="10">
        <v>5.1723380088806152</v>
      </c>
      <c r="FF49" s="10">
        <v>4.413416862487793</v>
      </c>
      <c r="FG49" s="10">
        <v>3.2701225280761719</v>
      </c>
      <c r="FH49" s="10">
        <v>1.9450893402099609</v>
      </c>
      <c r="FI49" s="10">
        <v>4.0034418106079102</v>
      </c>
      <c r="FJ49" s="10">
        <v>3.9055166244506836</v>
      </c>
      <c r="FK49" s="10">
        <v>4.1981334686279297</v>
      </c>
    </row>
    <row r="50" spans="3:167" x14ac:dyDescent="0.2">
      <c r="C50" s="10">
        <f t="shared" si="9"/>
        <v>0.87983542999999997</v>
      </c>
      <c r="D50" s="10">
        <f t="shared" si="10"/>
        <v>90.322792053222656</v>
      </c>
      <c r="E50" s="10" cm="1">
        <f t="array" ref="E50">gavg(AF50,EL50)</f>
        <v>14.430131661487673</v>
      </c>
      <c r="F50" s="10" cm="1">
        <f t="array" ref="F50">lnstdev(AF50,EL50)</f>
        <v>1.066075827500395</v>
      </c>
      <c r="G50" s="10">
        <f t="shared" si="11"/>
        <v>111</v>
      </c>
      <c r="H50" s="10">
        <f t="shared" si="12"/>
        <v>0.87983542999999997</v>
      </c>
      <c r="I50" s="10">
        <f t="shared" si="13"/>
        <v>2.8978999000000001</v>
      </c>
      <c r="J50" s="10"/>
      <c r="K50" s="10"/>
      <c r="L50" s="10">
        <f t="shared" si="14"/>
        <v>10</v>
      </c>
      <c r="M50" s="10">
        <f t="shared" si="15"/>
        <v>5.0663294792175293</v>
      </c>
      <c r="N50" s="10">
        <f t="shared" si="16"/>
        <v>32.175243377685547</v>
      </c>
      <c r="O50" s="10">
        <f t="shared" si="17"/>
        <v>23</v>
      </c>
      <c r="P50" s="10">
        <f t="shared" si="18"/>
        <v>16.545196533203125</v>
      </c>
      <c r="Q50" s="10">
        <f t="shared" si="19"/>
        <v>90.322792053222656</v>
      </c>
      <c r="R50" s="10">
        <f t="shared" si="20"/>
        <v>29</v>
      </c>
      <c r="S50" s="10">
        <f t="shared" si="21"/>
        <v>4.1639165878295898</v>
      </c>
      <c r="T50" s="10">
        <f t="shared" si="22"/>
        <v>29.227893829345703</v>
      </c>
      <c r="U50" s="10">
        <f t="shared" si="23"/>
        <v>31</v>
      </c>
      <c r="V50" s="10">
        <f t="shared" si="0"/>
        <v>3.4083716869354248</v>
      </c>
      <c r="W50" s="10">
        <f t="shared" si="1"/>
        <v>13.770648002624512</v>
      </c>
      <c r="X50" s="10">
        <f t="shared" si="2"/>
        <v>18</v>
      </c>
      <c r="Y50" s="10">
        <f t="shared" si="3"/>
        <v>4.1457948684692383</v>
      </c>
      <c r="Z50" s="10">
        <f t="shared" si="4"/>
        <v>11.127912521362305</v>
      </c>
      <c r="AA50" s="10">
        <f t="shared" si="5"/>
        <v>4</v>
      </c>
      <c r="AB50" s="10">
        <f t="shared" si="6"/>
        <v>3.4083716869354248</v>
      </c>
      <c r="AC50" s="10">
        <f t="shared" si="7"/>
        <v>13.770648002624512</v>
      </c>
      <c r="AD50" s="10">
        <f t="shared" si="8"/>
        <v>14</v>
      </c>
      <c r="AE50" t="s">
        <v>55</v>
      </c>
      <c r="AF50" s="10">
        <v>0.87983542999999997</v>
      </c>
      <c r="AG50" s="10">
        <v>1.5367953000000001</v>
      </c>
      <c r="AH50" s="10">
        <v>1.5770347</v>
      </c>
      <c r="AI50" s="10">
        <v>1.7448220999999999</v>
      </c>
      <c r="AJ50" s="10">
        <v>1.7595510000000001</v>
      </c>
      <c r="AK50" s="10">
        <v>2.6391331999999998</v>
      </c>
      <c r="AL50" s="10">
        <v>1.9694773000000001</v>
      </c>
      <c r="AM50" s="10">
        <v>2.1100340000000002</v>
      </c>
      <c r="AN50" s="10">
        <v>2.1489232</v>
      </c>
      <c r="AO50" s="10">
        <v>2.8978999000000001</v>
      </c>
      <c r="AP50" s="10">
        <v>5.0663294792175293</v>
      </c>
      <c r="AQ50" s="10">
        <v>6.4742727279663086</v>
      </c>
      <c r="AR50" s="10">
        <v>7.3316850662231445</v>
      </c>
      <c r="AS50" s="10">
        <v>8.4637765884399414</v>
      </c>
      <c r="AT50" s="10">
        <v>10.605136871337891</v>
      </c>
      <c r="AU50" s="10">
        <v>14.191719055175781</v>
      </c>
      <c r="AV50" s="10">
        <v>13.898448944091797</v>
      </c>
      <c r="AW50" s="10">
        <v>17.218006134033203</v>
      </c>
      <c r="AX50" s="10">
        <v>16.037469863891602</v>
      </c>
      <c r="AY50" s="10">
        <v>17.504251480102539</v>
      </c>
      <c r="AZ50" s="10">
        <v>22.735742568969727</v>
      </c>
      <c r="BA50" s="10">
        <v>22.318046569824219</v>
      </c>
      <c r="BB50" s="10">
        <v>22.809591293334961</v>
      </c>
      <c r="BC50" s="10">
        <v>25.808477401733398</v>
      </c>
      <c r="BD50" s="10">
        <v>26.866313934326172</v>
      </c>
      <c r="BE50" s="10">
        <v>29.90186882019043</v>
      </c>
      <c r="BF50" s="10">
        <v>26.615564346313477</v>
      </c>
      <c r="BG50" s="10">
        <v>32.175243377685547</v>
      </c>
      <c r="BH50" s="10">
        <v>27.100671768188477</v>
      </c>
      <c r="BI50" s="10">
        <v>5.662574291229248</v>
      </c>
      <c r="BJ50" s="10">
        <v>6.2585134506225586</v>
      </c>
      <c r="BK50" s="10">
        <v>6.5727047920227051</v>
      </c>
      <c r="BL50" s="10">
        <v>8.9529666900634766</v>
      </c>
      <c r="BM50" s="10">
        <v>16.545196533203125</v>
      </c>
      <c r="BN50" s="10">
        <v>36.983455657958984</v>
      </c>
      <c r="BO50" s="10">
        <v>60.271305084228516</v>
      </c>
      <c r="BP50" s="10">
        <v>24.323369979858398</v>
      </c>
      <c r="BQ50" s="10">
        <v>38.078125</v>
      </c>
      <c r="BR50" s="10">
        <v>32.345848083496094</v>
      </c>
      <c r="BS50" s="10">
        <v>35.367019653320313</v>
      </c>
      <c r="BT50" s="10">
        <v>41.104747772216797</v>
      </c>
      <c r="BU50" s="10">
        <v>44.870532989501953</v>
      </c>
      <c r="BV50" s="10">
        <v>45.512035369873047</v>
      </c>
      <c r="BW50" s="10">
        <v>49.161231994628906</v>
      </c>
      <c r="BX50" s="10">
        <v>51.101123809814453</v>
      </c>
      <c r="BY50" s="10">
        <v>61.596996307373047</v>
      </c>
      <c r="BZ50" s="10">
        <v>23.857444763183594</v>
      </c>
      <c r="CA50" s="10">
        <v>44.088756561279297</v>
      </c>
      <c r="CB50" s="10">
        <v>36.991138458251953</v>
      </c>
      <c r="CC50" s="10">
        <v>65.234756469726563</v>
      </c>
      <c r="CD50" s="10">
        <v>63.376861572265625</v>
      </c>
      <c r="CE50" s="10">
        <v>61.771839141845703</v>
      </c>
      <c r="CF50" s="10">
        <v>58.158439636230469</v>
      </c>
      <c r="CG50" s="10">
        <v>71.182640075683594</v>
      </c>
      <c r="CH50" s="10">
        <v>82.112632751464844</v>
      </c>
      <c r="CI50" s="10">
        <v>79.709678649902344</v>
      </c>
      <c r="CJ50" s="10">
        <v>79.165435791015625</v>
      </c>
      <c r="CK50" s="10">
        <v>85.232185363769531</v>
      </c>
      <c r="CL50" s="10">
        <v>86.771751403808594</v>
      </c>
      <c r="CM50" s="10">
        <v>74.851753234863281</v>
      </c>
      <c r="CN50" s="10">
        <v>71.850532531738281</v>
      </c>
      <c r="CO50" s="10">
        <v>90.322792053222656</v>
      </c>
      <c r="CP50" s="10">
        <v>7.96173095703125</v>
      </c>
      <c r="CQ50" s="10">
        <v>7.6531338691711426</v>
      </c>
      <c r="CR50" s="10">
        <v>9.3431911468505859</v>
      </c>
      <c r="CS50" s="10">
        <v>8.5146760940551758</v>
      </c>
      <c r="CT50" s="10">
        <v>11.713094711303711</v>
      </c>
      <c r="CU50" s="10">
        <v>11.387240409851074</v>
      </c>
      <c r="CV50" s="10">
        <v>13.822556495666504</v>
      </c>
      <c r="CW50" s="10">
        <v>13.886896133422852</v>
      </c>
      <c r="CX50" s="10">
        <v>19.197317123413086</v>
      </c>
      <c r="CY50" s="10">
        <v>18.610061645507813</v>
      </c>
      <c r="CZ50" s="10">
        <v>19.409912109375</v>
      </c>
      <c r="DA50" s="10">
        <v>20.394866943359375</v>
      </c>
      <c r="DB50" s="10">
        <v>21.211702346801758</v>
      </c>
      <c r="DC50" s="10">
        <v>24.828203201293945</v>
      </c>
      <c r="DD50" s="10">
        <v>20.092824935913086</v>
      </c>
      <c r="DE50" s="10">
        <v>5.4583849906921387</v>
      </c>
      <c r="DF50" s="10">
        <v>4.569272518157959</v>
      </c>
      <c r="DG50" s="10">
        <v>6.4875926971435547</v>
      </c>
      <c r="DH50" s="10">
        <v>20.937231063842773</v>
      </c>
      <c r="DI50" s="10">
        <v>23.496915817260742</v>
      </c>
      <c r="DJ50" s="10">
        <v>28.64202880859375</v>
      </c>
      <c r="DK50" s="10">
        <v>29.227893829345703</v>
      </c>
      <c r="DL50" s="10">
        <v>28.670011520385742</v>
      </c>
      <c r="DM50" s="10">
        <v>4.4838910102844238</v>
      </c>
      <c r="DN50" s="10">
        <v>5.4472455978393555</v>
      </c>
      <c r="DO50" s="10">
        <v>4.1639165878295898</v>
      </c>
      <c r="DP50" s="10">
        <v>6.8490710258483887</v>
      </c>
      <c r="DQ50" s="10">
        <v>4.9325733184814453</v>
      </c>
      <c r="DR50" s="10">
        <v>15.574956893920898</v>
      </c>
      <c r="DS50" s="10">
        <v>21.974323272705078</v>
      </c>
      <c r="DT50" s="10">
        <v>12.775863647460938</v>
      </c>
      <c r="DU50" s="10">
        <v>8.5531511306762695</v>
      </c>
      <c r="DV50" s="10">
        <v>4.1457948684692383</v>
      </c>
      <c r="DW50" s="10">
        <v>11.127912521362305</v>
      </c>
      <c r="DX50" s="10">
        <v>10.082951545715332</v>
      </c>
      <c r="DY50" s="10">
        <v>3.4083716869354248</v>
      </c>
      <c r="DZ50" s="10">
        <v>5.3595037460327148</v>
      </c>
      <c r="EA50" s="10">
        <v>5.1479873657226563</v>
      </c>
      <c r="EB50" s="10">
        <v>6.4153275489807129</v>
      </c>
      <c r="EC50" s="10">
        <v>6.2500920295715332</v>
      </c>
      <c r="ED50" s="10">
        <v>7.9832062721252441</v>
      </c>
      <c r="EE50" s="10">
        <v>8.9743585586547852</v>
      </c>
      <c r="EF50" s="10">
        <v>10.610030174255371</v>
      </c>
      <c r="EG50" s="10">
        <v>10.559918403625488</v>
      </c>
      <c r="EH50" s="10">
        <v>11.545782089233398</v>
      </c>
      <c r="EI50" s="10">
        <v>10.501198768615723</v>
      </c>
      <c r="EJ50" s="10">
        <v>13.770648002624512</v>
      </c>
      <c r="EK50" s="10">
        <v>12.320117950439453</v>
      </c>
      <c r="EL50" s="10">
        <v>8.7058382034301758</v>
      </c>
      <c r="EM50" s="10">
        <v>21.558534622192383</v>
      </c>
      <c r="EN50" s="10">
        <v>14.00157642364502</v>
      </c>
      <c r="EO50" s="10">
        <v>12.947514533996582</v>
      </c>
      <c r="EP50" s="10">
        <v>9.7768697738647461</v>
      </c>
      <c r="EQ50" s="10">
        <v>9.4222164154052734</v>
      </c>
      <c r="ER50" s="10">
        <v>21.939596176147461</v>
      </c>
      <c r="ES50" s="10">
        <v>11.252250671386719</v>
      </c>
      <c r="ET50" s="10">
        <v>6.4666886329650879</v>
      </c>
      <c r="EU50" s="10">
        <v>5.7255110740661621</v>
      </c>
      <c r="EV50" s="10">
        <v>10.699313163757324</v>
      </c>
      <c r="EW50" s="10">
        <v>19.442127227783203</v>
      </c>
      <c r="EX50" s="10">
        <v>9.7451877593994141</v>
      </c>
      <c r="EY50" s="10">
        <v>4.721717357635498</v>
      </c>
      <c r="EZ50" s="10">
        <v>5.3250250816345215</v>
      </c>
      <c r="FA50" s="10">
        <v>6.1899333000183105</v>
      </c>
      <c r="FB50" s="10">
        <v>21.00531005859375</v>
      </c>
      <c r="FC50" s="10">
        <v>3.6453769207000732</v>
      </c>
      <c r="FD50" s="10">
        <v>3.721376895904541</v>
      </c>
      <c r="FE50" s="10">
        <v>5.7487096786499023</v>
      </c>
      <c r="FF50" s="10">
        <v>7.6927609443664551</v>
      </c>
      <c r="FG50" s="10">
        <v>11.538015365600586</v>
      </c>
      <c r="FH50" s="10">
        <v>2.6406075954437256</v>
      </c>
      <c r="FI50" s="10">
        <v>5.0914421081542969</v>
      </c>
      <c r="FJ50" s="10">
        <v>6.7893705368041992</v>
      </c>
      <c r="FK50" s="10">
        <v>6.3074216842651367</v>
      </c>
    </row>
    <row r="51" spans="3:167" x14ac:dyDescent="0.2">
      <c r="C51" s="10">
        <f t="shared" si="9"/>
        <v>0.42766791999999998</v>
      </c>
      <c r="D51" s="10">
        <f t="shared" si="10"/>
        <v>42.382999628398288</v>
      </c>
      <c r="E51" s="10" cm="1">
        <f t="array" ref="E51">gavg(AF51,EL51)</f>
        <v>4.9793985732725394</v>
      </c>
      <c r="F51" s="10" cm="1">
        <f t="array" ref="F51">lnstdev(AF51,EL51)</f>
        <v>1.1044766203629695</v>
      </c>
      <c r="G51" s="10">
        <f t="shared" si="11"/>
        <v>111</v>
      </c>
      <c r="H51" s="10">
        <f t="shared" si="12"/>
        <v>0.42766791999999998</v>
      </c>
      <c r="I51" s="10">
        <f t="shared" si="13"/>
        <v>1.4497583000000001</v>
      </c>
      <c r="J51" s="10"/>
      <c r="K51" s="10"/>
      <c r="L51" s="10">
        <f t="shared" si="14"/>
        <v>10</v>
      </c>
      <c r="M51" s="10">
        <f t="shared" si="15"/>
        <v>1.6056181192398071</v>
      </c>
      <c r="N51" s="10">
        <f t="shared" si="16"/>
        <v>15.255839347839355</v>
      </c>
      <c r="O51" s="10">
        <f t="shared" si="17"/>
        <v>23</v>
      </c>
      <c r="P51" s="10">
        <f t="shared" si="18"/>
        <v>5.7996426307811131</v>
      </c>
      <c r="Q51" s="10">
        <f t="shared" si="19"/>
        <v>42.382999628398288</v>
      </c>
      <c r="R51" s="10">
        <f t="shared" si="20"/>
        <v>29</v>
      </c>
      <c r="S51" s="10">
        <f t="shared" si="21"/>
        <v>1.1999629594195058</v>
      </c>
      <c r="T51" s="10">
        <f t="shared" si="22"/>
        <v>11.195553378144314</v>
      </c>
      <c r="U51" s="10">
        <f t="shared" si="23"/>
        <v>31</v>
      </c>
      <c r="V51" s="10">
        <f t="shared" si="0"/>
        <v>0.5200010890747685</v>
      </c>
      <c r="W51" s="10">
        <f t="shared" si="1"/>
        <v>3.3846527554368184</v>
      </c>
      <c r="X51" s="10">
        <f t="shared" si="2"/>
        <v>18</v>
      </c>
      <c r="Y51" s="10">
        <f t="shared" si="3"/>
        <v>0.90908330364765733</v>
      </c>
      <c r="Z51" s="10">
        <f t="shared" si="4"/>
        <v>2.7998180536336323</v>
      </c>
      <c r="AA51" s="10">
        <f t="shared" si="5"/>
        <v>4</v>
      </c>
      <c r="AB51" s="10">
        <f t="shared" si="6"/>
        <v>0.5200010890747685</v>
      </c>
      <c r="AC51" s="10">
        <f t="shared" si="7"/>
        <v>3.3846527554368184</v>
      </c>
      <c r="AD51" s="10">
        <f t="shared" si="8"/>
        <v>14</v>
      </c>
      <c r="AE51" t="s">
        <v>56</v>
      </c>
      <c r="AF51" s="10">
        <v>0.88175899000000002</v>
      </c>
      <c r="AG51" s="10">
        <v>0.42766791999999998</v>
      </c>
      <c r="AH51" s="10">
        <v>0.79164767000000003</v>
      </c>
      <c r="AI51" s="10">
        <v>0.80118299000000004</v>
      </c>
      <c r="AJ51" s="10">
        <v>0.86025565999999998</v>
      </c>
      <c r="AK51" s="10">
        <v>0.92110181000000002</v>
      </c>
      <c r="AL51" s="10">
        <v>0.96321665999999995</v>
      </c>
      <c r="AM51" s="10">
        <v>1.0386238000000001</v>
      </c>
      <c r="AN51" s="10">
        <v>1.1024503000000001</v>
      </c>
      <c r="AO51" s="10">
        <v>1.4497583000000001</v>
      </c>
      <c r="AP51" s="10">
        <v>1.6056181192398071</v>
      </c>
      <c r="AQ51" s="10">
        <v>2.4307320117950439</v>
      </c>
      <c r="AR51" s="10">
        <v>2.7970743179321289</v>
      </c>
      <c r="AS51" s="10">
        <v>3.8182923793792725</v>
      </c>
      <c r="AT51" s="10">
        <v>5.0393943786621094</v>
      </c>
      <c r="AU51" s="10">
        <v>5.9254765510559082</v>
      </c>
      <c r="AV51" s="10">
        <v>6.7971835136413574</v>
      </c>
      <c r="AW51" s="10">
        <v>7.3199810981750488</v>
      </c>
      <c r="AX51" s="10">
        <v>8.0052528381347656</v>
      </c>
      <c r="AY51" s="10">
        <v>8.4075336456298828</v>
      </c>
      <c r="AZ51" s="10">
        <v>9.9866847991943359</v>
      </c>
      <c r="BA51" s="10">
        <v>10.366208076477051</v>
      </c>
      <c r="BB51" s="10">
        <v>12.330660820007324</v>
      </c>
      <c r="BC51" s="10">
        <v>12.912693023681641</v>
      </c>
      <c r="BD51" s="10">
        <v>13.264610290527344</v>
      </c>
      <c r="BE51" s="10">
        <v>13.505461692810059</v>
      </c>
      <c r="BF51" s="10">
        <v>14.880952835083008</v>
      </c>
      <c r="BG51" s="10">
        <v>15.255839347839355</v>
      </c>
      <c r="BH51" s="10">
        <v>13.246647834777832</v>
      </c>
      <c r="BI51" s="10">
        <v>1.6680171489715576</v>
      </c>
      <c r="BJ51" s="10">
        <v>2.6589436531066895</v>
      </c>
      <c r="BK51" s="10">
        <v>2.4576692581176758</v>
      </c>
      <c r="BL51" s="10">
        <v>3.3622200489044189</v>
      </c>
      <c r="BM51" s="10">
        <v>5.7996426307811131</v>
      </c>
      <c r="BN51" s="10">
        <v>11.599253951736213</v>
      </c>
      <c r="BO51" s="10">
        <v>21.598719422680574</v>
      </c>
      <c r="BP51" s="10">
        <v>6.3995802425274366</v>
      </c>
      <c r="BQ51" s="10">
        <v>7.5200146680662332</v>
      </c>
      <c r="BR51" s="10">
        <v>8.5318546778561419</v>
      </c>
      <c r="BS51" s="10">
        <v>9.9993276420829602</v>
      </c>
      <c r="BT51" s="10">
        <v>11.199291783035214</v>
      </c>
      <c r="BU51" s="10">
        <v>12.399193236358958</v>
      </c>
      <c r="BV51" s="10">
        <v>13.399118061975221</v>
      </c>
      <c r="BW51" s="10">
        <v>14.821684362083575</v>
      </c>
      <c r="BX51" s="10">
        <v>16.267437172915479</v>
      </c>
      <c r="BY51" s="10">
        <v>17.596918861280354</v>
      </c>
      <c r="BZ51" s="10">
        <v>6.3332570494564671</v>
      </c>
      <c r="CA51" s="10">
        <v>12.794903636383877</v>
      </c>
      <c r="CB51" s="10">
        <v>12.399207838743378</v>
      </c>
      <c r="CC51" s="10">
        <v>16.990464063558935</v>
      </c>
      <c r="CD51" s="10">
        <v>19.71018996056144</v>
      </c>
      <c r="CE51" s="10">
        <v>19.729812126628691</v>
      </c>
      <c r="CF51" s="10">
        <v>20.923339657657259</v>
      </c>
      <c r="CG51" s="10">
        <v>24.886461946301687</v>
      </c>
      <c r="CH51" s="10">
        <v>28.886029634118362</v>
      </c>
      <c r="CI51" s="10">
        <v>31.495248786210215</v>
      </c>
      <c r="CJ51" s="10">
        <v>34.849954982537454</v>
      </c>
      <c r="CK51" s="10">
        <v>35.185992253326361</v>
      </c>
      <c r="CL51" s="10">
        <v>37.706568626355335</v>
      </c>
      <c r="CM51" s="10">
        <v>42.382999628398288</v>
      </c>
      <c r="CN51" s="10">
        <v>38.634077044402986</v>
      </c>
      <c r="CO51" s="10">
        <v>38.634071952025494</v>
      </c>
      <c r="CP51" s="10">
        <v>1.9999782141541402</v>
      </c>
      <c r="CQ51" s="10">
        <v>2.4800009970972314</v>
      </c>
      <c r="CR51" s="10">
        <v>3.1999982485455818</v>
      </c>
      <c r="CS51" s="10">
        <v>3.3331229268141693</v>
      </c>
      <c r="CT51" s="10">
        <v>3.8664149118211779</v>
      </c>
      <c r="CU51" s="10">
        <v>4.3200148563417571</v>
      </c>
      <c r="CV51" s="10">
        <v>4.9996881581157746</v>
      </c>
      <c r="CW51" s="10">
        <v>5.1996584737780429</v>
      </c>
      <c r="CX51" s="10">
        <v>5.3323881752742386</v>
      </c>
      <c r="CY51" s="10">
        <v>5.9996024559591996</v>
      </c>
      <c r="CZ51" s="10">
        <v>6.4002474048903011</v>
      </c>
      <c r="DA51" s="10">
        <v>7.1995007336564285</v>
      </c>
      <c r="DB51" s="10">
        <v>7.0769829412344141</v>
      </c>
      <c r="DC51" s="10">
        <v>7.998309676432342</v>
      </c>
      <c r="DD51" s="10">
        <v>7.384690050202007</v>
      </c>
      <c r="DE51" s="10">
        <v>1.6666526300672473</v>
      </c>
      <c r="DF51" s="10">
        <v>1.5798143602629355</v>
      </c>
      <c r="DG51" s="10">
        <v>2.6664941055868656</v>
      </c>
      <c r="DH51" s="10">
        <v>7.6665623844415132</v>
      </c>
      <c r="DI51" s="10">
        <v>8.7984285300292129</v>
      </c>
      <c r="DJ51" s="10">
        <v>9.9985258424021701</v>
      </c>
      <c r="DK51" s="10">
        <v>10.461679286140887</v>
      </c>
      <c r="DL51" s="10">
        <v>11.195553378144314</v>
      </c>
      <c r="DM51" s="10">
        <v>1.1999629594195058</v>
      </c>
      <c r="DN51" s="10">
        <v>1.6000092923960811</v>
      </c>
      <c r="DO51" s="10">
        <v>1.3600055972604916</v>
      </c>
      <c r="DP51" s="10">
        <v>1.8998749577829461</v>
      </c>
      <c r="DQ51" s="10">
        <v>1.4400043353650092</v>
      </c>
      <c r="DR51" s="10">
        <v>6.7995379484739153</v>
      </c>
      <c r="DS51" s="10">
        <v>8.5318271678026907</v>
      </c>
      <c r="DT51" s="10">
        <v>4.959999850207133</v>
      </c>
      <c r="DU51" s="10">
        <v>1.8665486362714541</v>
      </c>
      <c r="DV51" s="10">
        <v>0.90908330364765733</v>
      </c>
      <c r="DW51" s="10">
        <v>2.0738633354338187</v>
      </c>
      <c r="DX51" s="10">
        <v>2.7998180536336323</v>
      </c>
      <c r="DY51" s="10">
        <v>0.5200010890747685</v>
      </c>
      <c r="DZ51" s="10">
        <v>0.93326841857175102</v>
      </c>
      <c r="EA51" s="10">
        <v>1.2999140579033817</v>
      </c>
      <c r="EB51" s="10">
        <v>1.5998857676938909</v>
      </c>
      <c r="EC51" s="10">
        <v>1.5998968015139796</v>
      </c>
      <c r="ED51" s="10">
        <v>2.0800082706962502</v>
      </c>
      <c r="EE51" s="10">
        <v>2.1329614431020389</v>
      </c>
      <c r="EF51" s="10">
        <v>2.3998491298601499</v>
      </c>
      <c r="EG51" s="10">
        <v>2.4615640416021329</v>
      </c>
      <c r="EH51" s="10">
        <v>2.666392387468064</v>
      </c>
      <c r="EI51" s="10">
        <v>3.1997840733733738</v>
      </c>
      <c r="EJ51" s="10">
        <v>3.3846527554368184</v>
      </c>
      <c r="EK51" s="10">
        <v>2.9334860308434552</v>
      </c>
      <c r="EL51" s="10">
        <v>2.3998369944009617</v>
      </c>
      <c r="EM51" s="10">
        <v>1.7499547598988872</v>
      </c>
      <c r="EN51" s="10">
        <v>2.6666291755113649</v>
      </c>
      <c r="EO51" s="10">
        <v>0.3636241841577561</v>
      </c>
      <c r="EP51" s="10">
        <v>2.1817475962311348</v>
      </c>
      <c r="EQ51" s="10">
        <v>0.99993272166528702</v>
      </c>
      <c r="ER51" s="10">
        <v>0.59999432812172993</v>
      </c>
      <c r="ES51" s="10">
        <v>1.1999791310940011</v>
      </c>
      <c r="ET51" s="10">
        <v>2.2856788670272308</v>
      </c>
      <c r="EU51" s="10">
        <v>2.6665381803975352</v>
      </c>
      <c r="EV51" s="10">
        <v>3.1997877297376887</v>
      </c>
      <c r="EW51" s="10">
        <v>0.5599990264556598</v>
      </c>
      <c r="EX51" s="10">
        <v>1.1733332096261782</v>
      </c>
      <c r="EY51" s="10">
        <v>1.8665471686575836</v>
      </c>
      <c r="EZ51" s="10">
        <v>2.1998354521822905</v>
      </c>
      <c r="FA51" s="10">
        <v>0.99985229929300534</v>
      </c>
      <c r="FB51" s="10">
        <v>0.58460422156583414</v>
      </c>
      <c r="FC51" s="10">
        <v>0.90475338892106938</v>
      </c>
      <c r="FD51" s="10">
        <v>1.7142499988850317</v>
      </c>
      <c r="FE51" s="10">
        <v>1.919991357543025</v>
      </c>
      <c r="FF51" s="10">
        <v>2.1998537219926781</v>
      </c>
      <c r="FG51" s="10">
        <v>0.4249984828290303</v>
      </c>
      <c r="FH51" s="10">
        <v>0.81926447075096853</v>
      </c>
      <c r="FI51" s="10">
        <v>1.733228749169234</v>
      </c>
      <c r="FJ51" s="10">
        <v>2.0799938101929398</v>
      </c>
      <c r="FK51" s="10">
        <v>2.3998384814177287</v>
      </c>
    </row>
    <row r="52" spans="3:167" x14ac:dyDescent="0.2">
      <c r="C52" s="10">
        <f t="shared" si="9"/>
        <v>0.88175899000000002</v>
      </c>
      <c r="D52" s="10">
        <f t="shared" si="10"/>
        <v>75.935934526394931</v>
      </c>
      <c r="E52" s="10" cm="1">
        <f t="array" ref="E52">gavg(AF52,EL52)</f>
        <v>9.9253876726115919</v>
      </c>
      <c r="F52" s="10" cm="1">
        <f t="array" ref="F52">lnstdev(AF52,EL52)</f>
        <v>1.0523866486212237</v>
      </c>
      <c r="G52" s="10">
        <f t="shared" si="11"/>
        <v>111</v>
      </c>
      <c r="H52" s="10">
        <f t="shared" si="12"/>
        <v>0.88175899000000002</v>
      </c>
      <c r="I52" s="10">
        <f t="shared" si="13"/>
        <v>2.8328609</v>
      </c>
      <c r="J52" s="10"/>
      <c r="K52" s="10"/>
      <c r="L52" s="10">
        <f t="shared" si="14"/>
        <v>10</v>
      </c>
      <c r="M52" s="10">
        <f t="shared" si="15"/>
        <v>4.7466282844543457</v>
      </c>
      <c r="N52" s="10">
        <f t="shared" si="16"/>
        <v>30.376670837402344</v>
      </c>
      <c r="O52" s="10">
        <f t="shared" si="17"/>
        <v>23</v>
      </c>
      <c r="P52" s="10">
        <f t="shared" si="18"/>
        <v>11.699279100023968</v>
      </c>
      <c r="Q52" s="10">
        <f t="shared" si="19"/>
        <v>75.935934526394931</v>
      </c>
      <c r="R52" s="10">
        <f t="shared" si="20"/>
        <v>29</v>
      </c>
      <c r="S52" s="10">
        <f t="shared" si="21"/>
        <v>2.3999259188390116</v>
      </c>
      <c r="T52" s="10">
        <f t="shared" si="22"/>
        <v>21.591424372135464</v>
      </c>
      <c r="U52" s="10">
        <f t="shared" si="23"/>
        <v>31</v>
      </c>
      <c r="V52" s="10">
        <f t="shared" si="0"/>
        <v>1.040002178149537</v>
      </c>
      <c r="W52" s="10">
        <f t="shared" si="1"/>
        <v>6.7693055108736369</v>
      </c>
      <c r="X52" s="10">
        <f t="shared" si="2"/>
        <v>18</v>
      </c>
      <c r="Y52" s="10">
        <f t="shared" si="3"/>
        <v>1.9617060762923131</v>
      </c>
      <c r="Z52" s="10">
        <f t="shared" si="4"/>
        <v>5.3996491034362908</v>
      </c>
      <c r="AA52" s="10">
        <f t="shared" si="5"/>
        <v>4</v>
      </c>
      <c r="AB52" s="10">
        <f t="shared" si="6"/>
        <v>1.040002178149537</v>
      </c>
      <c r="AC52" s="10">
        <f t="shared" si="7"/>
        <v>6.7693055108736369</v>
      </c>
      <c r="AD52" s="10">
        <f t="shared" si="8"/>
        <v>14</v>
      </c>
      <c r="AE52" t="s">
        <v>57</v>
      </c>
      <c r="AF52" s="10">
        <v>0.88175899000000002</v>
      </c>
      <c r="AG52" s="10">
        <v>1.5439537000000001</v>
      </c>
      <c r="AH52" s="10">
        <v>1.5832953000000001</v>
      </c>
      <c r="AI52" s="10">
        <v>1.5948783</v>
      </c>
      <c r="AJ52" s="10">
        <v>1.7063313</v>
      </c>
      <c r="AK52" s="10">
        <v>1.8364468</v>
      </c>
      <c r="AL52" s="10">
        <v>1.9070398</v>
      </c>
      <c r="AM52" s="10">
        <v>2.0707561999999999</v>
      </c>
      <c r="AN52" s="10">
        <v>2.1962875999999998</v>
      </c>
      <c r="AO52" s="10">
        <v>2.8328609</v>
      </c>
      <c r="AP52" s="10">
        <v>4.7466282844543457</v>
      </c>
      <c r="AQ52" s="10">
        <v>6.7013568878173828</v>
      </c>
      <c r="AR52" s="10">
        <v>8.9690217971801758</v>
      </c>
      <c r="AS52" s="10">
        <v>7.6365847587585449</v>
      </c>
      <c r="AT52" s="10">
        <v>9.8869333267211914</v>
      </c>
      <c r="AU52" s="10">
        <v>11.866924285888672</v>
      </c>
      <c r="AV52" s="10">
        <v>13.39085865020752</v>
      </c>
      <c r="AW52" s="10">
        <v>14.66380500793457</v>
      </c>
      <c r="AX52" s="10">
        <v>15.959999084472656</v>
      </c>
      <c r="AY52" s="10">
        <v>16.781967163085938</v>
      </c>
      <c r="AZ52" s="10">
        <v>19.816715240478516</v>
      </c>
      <c r="BA52" s="10">
        <v>21.119937896728516</v>
      </c>
      <c r="BB52" s="10">
        <v>24.716615676879883</v>
      </c>
      <c r="BC52" s="10">
        <v>25.091709136962891</v>
      </c>
      <c r="BD52" s="10">
        <v>26.453422546386719</v>
      </c>
      <c r="BE52" s="10">
        <v>26.911619186401367</v>
      </c>
      <c r="BF52" s="10">
        <v>29.864532470703125</v>
      </c>
      <c r="BG52" s="10">
        <v>30.376670837402344</v>
      </c>
      <c r="BH52" s="10">
        <v>26.493295669555664</v>
      </c>
      <c r="BI52" s="10">
        <v>6.6681160926818848</v>
      </c>
      <c r="BJ52" s="10">
        <v>6.9531998634338379</v>
      </c>
      <c r="BK52" s="10">
        <v>6.6919670104980469</v>
      </c>
      <c r="BL52" s="10">
        <v>7.169579029083252</v>
      </c>
      <c r="BM52" s="10">
        <v>11.699279100023968</v>
      </c>
      <c r="BN52" s="10">
        <v>24.798405000263628</v>
      </c>
      <c r="BO52" s="10">
        <v>43.597415130966347</v>
      </c>
      <c r="BP52" s="10">
        <v>12.799160485054873</v>
      </c>
      <c r="BQ52" s="10">
        <v>15.200029648218983</v>
      </c>
      <c r="BR52" s="10">
        <v>17.863570731761296</v>
      </c>
      <c r="BS52" s="10">
        <v>19.865330915604815</v>
      </c>
      <c r="BT52" s="10">
        <v>22.398583566070428</v>
      </c>
      <c r="BU52" s="10">
        <v>25.398347435767541</v>
      </c>
      <c r="BV52" s="10">
        <v>26.598249287204542</v>
      </c>
      <c r="BW52" s="10">
        <v>30.81969287988807</v>
      </c>
      <c r="BX52" s="10">
        <v>33.334912239580895</v>
      </c>
      <c r="BY52" s="10">
        <v>35.727077688054052</v>
      </c>
      <c r="BZ52" s="10">
        <v>12.333184780520488</v>
      </c>
      <c r="CA52" s="10">
        <v>26.389488750041746</v>
      </c>
      <c r="CB52" s="10">
        <v>24.798415677486755</v>
      </c>
      <c r="CC52" s="10">
        <v>32.981489064555582</v>
      </c>
      <c r="CD52" s="10">
        <v>41.13430948291083</v>
      </c>
      <c r="CE52" s="10">
        <v>41.592576915595615</v>
      </c>
      <c r="CF52" s="10">
        <v>42.462071658186787</v>
      </c>
      <c r="CG52" s="10">
        <v>46.662116149315658</v>
      </c>
      <c r="CH52" s="10">
        <v>29.330430090027875</v>
      </c>
      <c r="CI52" s="10">
        <v>57.991251733339439</v>
      </c>
      <c r="CJ52" s="10">
        <v>33.707333507700163</v>
      </c>
      <c r="CK52" s="10">
        <v>70.371984506652723</v>
      </c>
      <c r="CL52" s="10">
        <v>71.985267377587462</v>
      </c>
      <c r="CM52" s="10">
        <v>39.184282675311621</v>
      </c>
      <c r="CN52" s="10">
        <v>38.634077044402986</v>
      </c>
      <c r="CO52" s="10">
        <v>75.935934526394931</v>
      </c>
      <c r="CP52" s="10">
        <v>3.9999564283082805</v>
      </c>
      <c r="CQ52" s="10">
        <v>4.9600019941944629</v>
      </c>
      <c r="CR52" s="10">
        <v>6.3999964970911636</v>
      </c>
      <c r="CS52" s="10">
        <v>6.799570770700905</v>
      </c>
      <c r="CT52" s="10">
        <v>7.5995051715105912</v>
      </c>
      <c r="CU52" s="10">
        <v>8.8000302629183942</v>
      </c>
      <c r="CV52" s="10">
        <v>8.9994386846083945</v>
      </c>
      <c r="CW52" s="10">
        <v>10.599303811932165</v>
      </c>
      <c r="CX52" s="10">
        <v>10.931395759312188</v>
      </c>
      <c r="CY52" s="10">
        <v>12.799151906046292</v>
      </c>
      <c r="CZ52" s="10">
        <v>13.067171784984364</v>
      </c>
      <c r="DA52" s="10">
        <v>14.399001467312857</v>
      </c>
      <c r="DB52" s="10">
        <v>14.46166079295728</v>
      </c>
      <c r="DC52" s="10">
        <v>17.139235020926449</v>
      </c>
      <c r="DD52" s="10">
        <v>14.15398926288718</v>
      </c>
      <c r="DE52" s="10">
        <v>3.2666391549318048</v>
      </c>
      <c r="DF52" s="10">
        <v>3.1932417920208271</v>
      </c>
      <c r="DG52" s="10">
        <v>5.4663129164530746</v>
      </c>
      <c r="DH52" s="10">
        <v>15.66645356820657</v>
      </c>
      <c r="DI52" s="10">
        <v>17.596857060058426</v>
      </c>
      <c r="DJ52" s="10">
        <v>19.497125392684229</v>
      </c>
      <c r="DK52" s="10">
        <v>20.615662122689393</v>
      </c>
      <c r="DL52" s="10">
        <v>21.591424372135464</v>
      </c>
      <c r="DM52" s="10">
        <v>2.3999259188390116</v>
      </c>
      <c r="DN52" s="10">
        <v>3.1200181201723582</v>
      </c>
      <c r="DO52" s="10">
        <v>2.6400108652703662</v>
      </c>
      <c r="DP52" s="10">
        <v>3.7997499155658923</v>
      </c>
      <c r="DQ52" s="10">
        <v>2.8800086707300183</v>
      </c>
      <c r="DR52" s="10">
        <v>13.799062307197064</v>
      </c>
      <c r="DS52" s="10">
        <v>17.063654335605381</v>
      </c>
      <c r="DT52" s="10">
        <v>9.7599997052462939</v>
      </c>
      <c r="DU52" s="10">
        <v>3.5997723699520896</v>
      </c>
      <c r="DV52" s="10">
        <v>1.9617060762923131</v>
      </c>
      <c r="DW52" s="10">
        <v>4.2958597662557674</v>
      </c>
      <c r="DX52" s="10">
        <v>5.3996491034362908</v>
      </c>
      <c r="DY52" s="10">
        <v>1.040002178149537</v>
      </c>
      <c r="DZ52" s="10">
        <v>2.1331849567354308</v>
      </c>
      <c r="EA52" s="10">
        <v>2.5998281158067633</v>
      </c>
      <c r="EB52" s="10">
        <v>2.9997858144260454</v>
      </c>
      <c r="EC52" s="10">
        <v>3.4664430699469557</v>
      </c>
      <c r="ED52" s="10">
        <v>4.0000159051850961</v>
      </c>
      <c r="EE52" s="10">
        <v>3.9993027058163229</v>
      </c>
      <c r="EF52" s="10">
        <v>4.7996982597202997</v>
      </c>
      <c r="EG52" s="10">
        <v>4.6154325780039995</v>
      </c>
      <c r="EH52" s="10">
        <v>5.5549841405584663</v>
      </c>
      <c r="EI52" s="10">
        <v>6.3995681467467476</v>
      </c>
      <c r="EJ52" s="10">
        <v>6.7693055108736369</v>
      </c>
      <c r="EK52" s="10">
        <v>5.8669720616869103</v>
      </c>
      <c r="EL52" s="10">
        <v>4.9996604050020039</v>
      </c>
      <c r="EM52" s="10">
        <v>0.84997802623660235</v>
      </c>
      <c r="EN52" s="10">
        <v>0.88887639183712164</v>
      </c>
      <c r="EO52" s="10">
        <v>0.84845642970143087</v>
      </c>
      <c r="EP52" s="10">
        <v>1.4544983974874233</v>
      </c>
      <c r="EQ52" s="10">
        <v>0.99993272166528702</v>
      </c>
      <c r="ER52" s="10">
        <v>0.93332451041157993</v>
      </c>
      <c r="ES52" s="10">
        <v>1.1999791310940011</v>
      </c>
      <c r="ET52" s="10">
        <v>4.4570737907030997</v>
      </c>
      <c r="EU52" s="10">
        <v>5.5235433736806083</v>
      </c>
      <c r="EV52" s="10">
        <v>6.5995621925839831</v>
      </c>
      <c r="EW52" s="10">
        <v>0.87999847014460819</v>
      </c>
      <c r="EX52" s="10">
        <v>2.1333331084112332</v>
      </c>
      <c r="EY52" s="10">
        <v>4.1330687305989349</v>
      </c>
      <c r="EZ52" s="10">
        <v>4.399670904364581</v>
      </c>
      <c r="FA52" s="10">
        <v>1.9997045985860107</v>
      </c>
      <c r="FB52" s="10">
        <v>0.89229065396890461</v>
      </c>
      <c r="FC52" s="10">
        <v>1.8095067778421388</v>
      </c>
      <c r="FD52" s="10">
        <v>3.4284999977700634</v>
      </c>
      <c r="FE52" s="10">
        <v>3.9999819948813018</v>
      </c>
      <c r="FF52" s="10">
        <v>4.5996941459846905</v>
      </c>
      <c r="FG52" s="10">
        <v>0.94999660867665592</v>
      </c>
      <c r="FH52" s="10">
        <v>1.7349129968844039</v>
      </c>
      <c r="FI52" s="10">
        <v>3.3331322099408345</v>
      </c>
      <c r="FJ52" s="10">
        <v>3.9999880965248842</v>
      </c>
      <c r="FK52" s="10">
        <v>4.9996635029536014</v>
      </c>
    </row>
    <row r="53" spans="3:167" x14ac:dyDescent="0.2">
      <c r="C53" s="10">
        <f t="shared" si="9"/>
        <v>0.82920002999999998</v>
      </c>
      <c r="D53" s="10">
        <f t="shared" si="10"/>
        <v>110.33018493652344</v>
      </c>
      <c r="E53" s="10" cm="1">
        <f t="array" ref="E53">gavg(AF53,EL53)</f>
        <v>14.873487944509783</v>
      </c>
      <c r="F53" s="10" cm="1">
        <f t="array" ref="F53">lnstdev(AF53,EL53)</f>
        <v>1.2487243091428519</v>
      </c>
      <c r="G53" s="10">
        <f t="shared" si="11"/>
        <v>111</v>
      </c>
      <c r="H53" s="10">
        <f t="shared" si="12"/>
        <v>0.82920002999999998</v>
      </c>
      <c r="I53" s="10">
        <f t="shared" si="13"/>
        <v>2.4753506000000001</v>
      </c>
      <c r="J53" s="10"/>
      <c r="K53" s="10"/>
      <c r="L53" s="10">
        <f t="shared" si="14"/>
        <v>10</v>
      </c>
      <c r="M53" s="10">
        <f t="shared" si="15"/>
        <v>3.2653264999389648</v>
      </c>
      <c r="N53" s="10">
        <f t="shared" si="16"/>
        <v>24.859010696411133</v>
      </c>
      <c r="O53" s="10">
        <f t="shared" si="17"/>
        <v>23</v>
      </c>
      <c r="P53" s="10">
        <f t="shared" si="18"/>
        <v>22.508764266967773</v>
      </c>
      <c r="Q53" s="10">
        <f t="shared" si="19"/>
        <v>110.33018493652344</v>
      </c>
      <c r="R53" s="10">
        <f t="shared" si="20"/>
        <v>29</v>
      </c>
      <c r="S53" s="10">
        <f t="shared" si="21"/>
        <v>2.4183938503265381</v>
      </c>
      <c r="T53" s="10">
        <f t="shared" si="22"/>
        <v>40.292617797851563</v>
      </c>
      <c r="U53" s="10">
        <f t="shared" si="23"/>
        <v>31</v>
      </c>
      <c r="V53" s="10">
        <f t="shared" si="0"/>
        <v>1.2176574468612671</v>
      </c>
      <c r="W53" s="10">
        <f t="shared" si="1"/>
        <v>18.753973007202148</v>
      </c>
      <c r="X53" s="10">
        <f t="shared" si="2"/>
        <v>18</v>
      </c>
      <c r="Y53" s="10">
        <f t="shared" si="3"/>
        <v>5.6130070686340332</v>
      </c>
      <c r="Z53" s="10">
        <f t="shared" si="4"/>
        <v>13.951395988464355</v>
      </c>
      <c r="AA53" s="10">
        <f t="shared" si="5"/>
        <v>4</v>
      </c>
      <c r="AB53" s="10">
        <f t="shared" si="6"/>
        <v>1.2176574468612671</v>
      </c>
      <c r="AC53" s="10">
        <f t="shared" si="7"/>
        <v>18.753973007202148</v>
      </c>
      <c r="AD53" s="10">
        <f t="shared" si="8"/>
        <v>14</v>
      </c>
      <c r="AE53" t="s">
        <v>58</v>
      </c>
      <c r="AF53" s="10">
        <v>0.96924418000000001</v>
      </c>
      <c r="AG53" s="10">
        <v>0.88842708000000004</v>
      </c>
      <c r="AH53" s="10">
        <v>0.82920002999999998</v>
      </c>
      <c r="AI53" s="10">
        <v>0.83196861</v>
      </c>
      <c r="AJ53" s="10">
        <v>2.1026205999999998</v>
      </c>
      <c r="AK53" s="10">
        <v>1.6782918</v>
      </c>
      <c r="AL53" s="10">
        <v>2.1080983</v>
      </c>
      <c r="AM53" s="10">
        <v>2.3910170000000002</v>
      </c>
      <c r="AN53" s="10">
        <v>2.4753506000000001</v>
      </c>
      <c r="AO53" s="10">
        <v>2.2887533000000002</v>
      </c>
      <c r="AP53" s="10">
        <v>4.5449504852294922</v>
      </c>
      <c r="AQ53" s="10">
        <v>4.7748732566833496</v>
      </c>
      <c r="AR53" s="10">
        <v>5.3395829200744629</v>
      </c>
      <c r="AS53" s="10">
        <v>8.1861391067504883</v>
      </c>
      <c r="AT53" s="10">
        <v>8.7121877670288086</v>
      </c>
      <c r="AU53" s="10">
        <v>5.5624589920043945</v>
      </c>
      <c r="AV53" s="10">
        <v>7.3305597305297852</v>
      </c>
      <c r="AW53" s="10">
        <v>23.152671813964844</v>
      </c>
      <c r="AX53" s="10">
        <v>21.154752731323242</v>
      </c>
      <c r="AY53" s="10">
        <v>16.936252593994141</v>
      </c>
      <c r="AZ53" s="10">
        <v>11.902971267700195</v>
      </c>
      <c r="BA53" s="10">
        <v>10.957447052001953</v>
      </c>
      <c r="BB53" s="10">
        <v>16.455516815185547</v>
      </c>
      <c r="BC53" s="10">
        <v>14.137454032897949</v>
      </c>
      <c r="BD53" s="10">
        <v>10.387409210205078</v>
      </c>
      <c r="BE53" s="10">
        <v>23.585723876953125</v>
      </c>
      <c r="BF53" s="10">
        <v>24.769691467285156</v>
      </c>
      <c r="BG53" s="10">
        <v>18.976913452148438</v>
      </c>
      <c r="BH53" s="10">
        <v>24.859010696411133</v>
      </c>
      <c r="BI53" s="10">
        <v>6.4015340805053711</v>
      </c>
      <c r="BJ53" s="10">
        <v>3.2653264999389648</v>
      </c>
      <c r="BK53" s="10">
        <v>5.2221064567565918</v>
      </c>
      <c r="BL53" s="10">
        <v>7.086693286895752</v>
      </c>
      <c r="BM53" s="10">
        <v>22.508764266967773</v>
      </c>
      <c r="BN53" s="10">
        <v>44.054450988769531</v>
      </c>
      <c r="BO53" s="10">
        <v>81.592681884765625</v>
      </c>
      <c r="BP53" s="10">
        <v>41.559093475341797</v>
      </c>
      <c r="BQ53" s="10">
        <v>49.755970001220703</v>
      </c>
      <c r="BR53" s="10">
        <v>41.670036315917969</v>
      </c>
      <c r="BS53" s="10">
        <v>49.530517578125</v>
      </c>
      <c r="BT53" s="10">
        <v>58.154033660888672</v>
      </c>
      <c r="BU53" s="10">
        <v>62.067577362060547</v>
      </c>
      <c r="BV53" s="10">
        <v>57.963184356689453</v>
      </c>
      <c r="BW53" s="10">
        <v>60.951728820800781</v>
      </c>
      <c r="BX53" s="10">
        <v>69.597114562988281</v>
      </c>
      <c r="BY53" s="10">
        <v>78.046875</v>
      </c>
      <c r="BZ53" s="10">
        <v>35.719448089599609</v>
      </c>
      <c r="CA53" s="10">
        <v>53.615165710449219</v>
      </c>
      <c r="CB53" s="10">
        <v>51.608394622802734</v>
      </c>
      <c r="CC53" s="10">
        <v>81.154830932617188</v>
      </c>
      <c r="CD53" s="10">
        <v>79.706275939941406</v>
      </c>
      <c r="CE53" s="10">
        <v>83.947395324707031</v>
      </c>
      <c r="CF53" s="10">
        <v>84.733863830566406</v>
      </c>
      <c r="CG53" s="10">
        <v>84.388717651367188</v>
      </c>
      <c r="CH53" s="10">
        <v>92.38568115234375</v>
      </c>
      <c r="CI53" s="10">
        <v>100.34519958496094</v>
      </c>
      <c r="CJ53" s="10">
        <v>105.71418762207031</v>
      </c>
      <c r="CK53" s="10">
        <v>101.51580047607422</v>
      </c>
      <c r="CL53" s="10">
        <v>107.04486846923828</v>
      </c>
      <c r="CM53" s="10">
        <v>110.33018493652344</v>
      </c>
      <c r="CN53" s="10">
        <v>106.64144897460938</v>
      </c>
      <c r="CO53" s="10">
        <v>107.94986724853516</v>
      </c>
      <c r="CP53" s="10">
        <v>7.8507657051086426</v>
      </c>
      <c r="CQ53" s="10">
        <v>5.5314593315124512</v>
      </c>
      <c r="CR53" s="10">
        <v>10.771085739135742</v>
      </c>
      <c r="CS53" s="10">
        <v>7.9668364524841309</v>
      </c>
      <c r="CT53" s="10">
        <v>10.702527046203613</v>
      </c>
      <c r="CU53" s="10">
        <v>20.501590728759766</v>
      </c>
      <c r="CV53" s="10">
        <v>14.282920837402344</v>
      </c>
      <c r="CW53" s="10">
        <v>11.626595497131348</v>
      </c>
      <c r="CX53" s="10">
        <v>21.485742568969727</v>
      </c>
      <c r="CY53" s="10">
        <v>21.934003829956055</v>
      </c>
      <c r="CZ53" s="10">
        <v>21.216865539550781</v>
      </c>
      <c r="DA53" s="10">
        <v>25.441658020019531</v>
      </c>
      <c r="DB53" s="10">
        <v>33.650039672851563</v>
      </c>
      <c r="DC53" s="10">
        <v>27.269479751586914</v>
      </c>
      <c r="DD53" s="10">
        <v>26.471504211425781</v>
      </c>
      <c r="DE53" s="10">
        <v>4.8453731536865234</v>
      </c>
      <c r="DF53" s="10">
        <v>4.2162089347839355</v>
      </c>
      <c r="DG53" s="10">
        <v>8.8955612182617188</v>
      </c>
      <c r="DH53" s="10">
        <v>30.854928970336914</v>
      </c>
      <c r="DI53" s="10">
        <v>40.292617797851563</v>
      </c>
      <c r="DJ53" s="10">
        <v>39.903003692626953</v>
      </c>
      <c r="DK53" s="10">
        <v>39.266670227050781</v>
      </c>
      <c r="DL53" s="10">
        <v>40.094024658203125</v>
      </c>
      <c r="DM53" s="10">
        <v>2.4183938503265381</v>
      </c>
      <c r="DN53" s="10">
        <v>3.8802416324615479</v>
      </c>
      <c r="DO53" s="10">
        <v>4.866300106048584</v>
      </c>
      <c r="DP53" s="10">
        <v>7.3710861206054688</v>
      </c>
      <c r="DQ53" s="10">
        <v>3.6528286933898926</v>
      </c>
      <c r="DR53" s="10">
        <v>21.475870132446289</v>
      </c>
      <c r="DS53" s="10">
        <v>27.823583602905273</v>
      </c>
      <c r="DT53" s="10">
        <v>16.870792388916016</v>
      </c>
      <c r="DU53" s="10">
        <v>6.1000404357910156</v>
      </c>
      <c r="DV53" s="10">
        <v>5.6130070686340332</v>
      </c>
      <c r="DW53" s="10">
        <v>13.951395988464355</v>
      </c>
      <c r="DX53" s="10">
        <v>11.322037696838379</v>
      </c>
      <c r="DY53" s="10">
        <v>1.2176574468612671</v>
      </c>
      <c r="DZ53" s="10">
        <v>3.1777002811431885</v>
      </c>
      <c r="EA53" s="10">
        <v>5.9542202949523926</v>
      </c>
      <c r="EB53" s="10">
        <v>7.5341620445251465</v>
      </c>
      <c r="EC53" s="10">
        <v>8.9520378112792969</v>
      </c>
      <c r="ED53" s="10">
        <v>11.281698226928711</v>
      </c>
      <c r="EE53" s="10">
        <v>8.9669189453125</v>
      </c>
      <c r="EF53" s="10">
        <v>8.7203187942504883</v>
      </c>
      <c r="EG53" s="10">
        <v>13.563862800598145</v>
      </c>
      <c r="EH53" s="10">
        <v>15.029904365539551</v>
      </c>
      <c r="EI53" s="10">
        <v>11.320509910583496</v>
      </c>
      <c r="EJ53" s="10">
        <v>18.753973007202148</v>
      </c>
      <c r="EK53" s="10">
        <v>18.330129623413086</v>
      </c>
      <c r="EL53" s="10">
        <v>11.332150459289551</v>
      </c>
      <c r="EM53" s="10">
        <v>13.012990951538086</v>
      </c>
      <c r="EN53" s="10">
        <v>11.299444198608398</v>
      </c>
      <c r="EO53" s="10">
        <v>2.0809042453765869</v>
      </c>
      <c r="EP53" s="10">
        <v>3.1738059520721436</v>
      </c>
      <c r="EQ53" s="10">
        <v>3.825916051864624</v>
      </c>
      <c r="ER53" s="10">
        <v>4.8214654922485352</v>
      </c>
      <c r="ES53" s="10">
        <v>2.5698716640472412</v>
      </c>
      <c r="ET53" s="10">
        <v>5.0269122123718262</v>
      </c>
      <c r="EU53" s="10">
        <v>4.7045478820800781</v>
      </c>
      <c r="EV53" s="10">
        <v>4.7764878273010254</v>
      </c>
      <c r="EW53" s="10">
        <v>2.6173856258392334</v>
      </c>
      <c r="EX53" s="10">
        <v>2.1492538452148438</v>
      </c>
      <c r="EY53" s="10">
        <v>2.4699268341064453</v>
      </c>
      <c r="EZ53" s="10">
        <v>2.296950101852417</v>
      </c>
      <c r="FA53" s="10">
        <v>3.0270876884460449</v>
      </c>
      <c r="FB53" s="10">
        <v>1.8447177410125732</v>
      </c>
      <c r="FC53" s="10">
        <v>1.2782349586486816</v>
      </c>
      <c r="FD53" s="10">
        <v>3.0442070960998535</v>
      </c>
      <c r="FE53" s="10">
        <v>5.0043625831604004</v>
      </c>
      <c r="FF53" s="10">
        <v>6.233731746673584</v>
      </c>
      <c r="FG53" s="10">
        <v>1.1473653316497803</v>
      </c>
      <c r="FH53" s="10">
        <v>1.8944716453552246</v>
      </c>
      <c r="FI53" s="10">
        <v>1.6281193494796753</v>
      </c>
      <c r="FJ53" s="10">
        <v>3.6604981422424316</v>
      </c>
      <c r="FK53" s="10">
        <v>3.3677406311035156</v>
      </c>
    </row>
    <row r="54" spans="3:167" x14ac:dyDescent="0.2">
      <c r="C54" s="10">
        <f t="shared" si="9"/>
        <v>0.97657508000000004</v>
      </c>
      <c r="D54" s="10">
        <f t="shared" si="10"/>
        <v>174.58750915527344</v>
      </c>
      <c r="E54" s="10" cm="1">
        <f t="array" ref="E54">gavg(AF54,EL54)</f>
        <v>19.471655363631864</v>
      </c>
      <c r="F54" s="10" cm="1">
        <f t="array" ref="F54">lnstdev(AF54,EL54)</f>
        <v>1.1993765739727882</v>
      </c>
      <c r="G54" s="10">
        <f t="shared" si="11"/>
        <v>111</v>
      </c>
      <c r="H54" s="10">
        <f t="shared" si="12"/>
        <v>0.97657508000000004</v>
      </c>
      <c r="I54" s="10">
        <f t="shared" si="13"/>
        <v>3.9041469000000002</v>
      </c>
      <c r="J54" s="10"/>
      <c r="K54" s="10"/>
      <c r="L54" s="10">
        <f t="shared" si="14"/>
        <v>10</v>
      </c>
      <c r="M54" s="10">
        <f t="shared" si="15"/>
        <v>7.1355886459350586</v>
      </c>
      <c r="N54" s="10">
        <f t="shared" si="16"/>
        <v>41.533950805664063</v>
      </c>
      <c r="O54" s="10">
        <f t="shared" si="17"/>
        <v>23</v>
      </c>
      <c r="P54" s="10">
        <f t="shared" si="18"/>
        <v>23.110708236694336</v>
      </c>
      <c r="Q54" s="10">
        <f t="shared" si="19"/>
        <v>174.58750915527344</v>
      </c>
      <c r="R54" s="10">
        <f t="shared" si="20"/>
        <v>29</v>
      </c>
      <c r="S54" s="10">
        <f t="shared" si="21"/>
        <v>4.7285184860229492</v>
      </c>
      <c r="T54" s="10">
        <f t="shared" si="22"/>
        <v>42.068424224853516</v>
      </c>
      <c r="U54" s="10">
        <f t="shared" si="23"/>
        <v>31</v>
      </c>
      <c r="V54" s="10">
        <f t="shared" si="0"/>
        <v>1.9274026155471802</v>
      </c>
      <c r="W54" s="10">
        <f t="shared" si="1"/>
        <v>19.660516738891602</v>
      </c>
      <c r="X54" s="10">
        <f t="shared" si="2"/>
        <v>18</v>
      </c>
      <c r="Y54" s="10">
        <f t="shared" si="3"/>
        <v>4.8378076553344727</v>
      </c>
      <c r="Z54" s="10">
        <f t="shared" si="4"/>
        <v>15.998147010803223</v>
      </c>
      <c r="AA54" s="10">
        <f t="shared" si="5"/>
        <v>4</v>
      </c>
      <c r="AB54" s="10">
        <f t="shared" si="6"/>
        <v>1.9274026155471802</v>
      </c>
      <c r="AC54" s="10">
        <f t="shared" si="7"/>
        <v>19.660516738891602</v>
      </c>
      <c r="AD54" s="10">
        <f t="shared" si="8"/>
        <v>14</v>
      </c>
      <c r="AE54" t="s">
        <v>59</v>
      </c>
      <c r="AF54" s="10">
        <v>0.97657508000000004</v>
      </c>
      <c r="AG54" s="10">
        <v>1.6599451999999999</v>
      </c>
      <c r="AH54" s="10">
        <v>1.6191622999999999</v>
      </c>
      <c r="AI54" s="10">
        <v>2.2604042999999998</v>
      </c>
      <c r="AJ54" s="10">
        <v>1.8925240000000001</v>
      </c>
      <c r="AK54" s="10">
        <v>3.9041469000000002</v>
      </c>
      <c r="AL54" s="10">
        <v>2.2710466</v>
      </c>
      <c r="AM54" s="10">
        <v>2.1324402999999998</v>
      </c>
      <c r="AN54" s="10">
        <v>2.9190866999999998</v>
      </c>
      <c r="AO54" s="10">
        <v>3.2371086999999998</v>
      </c>
      <c r="AP54" s="10">
        <v>7.1355886459350586</v>
      </c>
      <c r="AQ54" s="10">
        <v>7.236567497253418</v>
      </c>
      <c r="AR54" s="10">
        <v>10.883401870727539</v>
      </c>
      <c r="AS54" s="10">
        <v>11.259899139404297</v>
      </c>
      <c r="AT54" s="10">
        <v>13.847307205200195</v>
      </c>
      <c r="AU54" s="10">
        <v>18.64678955078125</v>
      </c>
      <c r="AV54" s="10">
        <v>18.159156799316406</v>
      </c>
      <c r="AW54" s="10">
        <v>27.367280960083008</v>
      </c>
      <c r="AX54" s="10">
        <v>19.423517227172852</v>
      </c>
      <c r="AY54" s="10">
        <v>23.26799201965332</v>
      </c>
      <c r="AZ54" s="10">
        <v>31.689474105834961</v>
      </c>
      <c r="BA54" s="10">
        <v>25.381010055541992</v>
      </c>
      <c r="BB54" s="10">
        <v>34.278362274169922</v>
      </c>
      <c r="BC54" s="10">
        <v>33.433731079101563</v>
      </c>
      <c r="BD54" s="10">
        <v>30.117673873901367</v>
      </c>
      <c r="BE54" s="10">
        <v>40.943607330322266</v>
      </c>
      <c r="BF54" s="10">
        <v>36.007526397705078</v>
      </c>
      <c r="BG54" s="10">
        <v>41.533950805664063</v>
      </c>
      <c r="BH54" s="10">
        <v>36.533744812011719</v>
      </c>
      <c r="BI54" s="10">
        <v>7.5452046394348145</v>
      </c>
      <c r="BJ54" s="10">
        <v>8.4653348922729492</v>
      </c>
      <c r="BK54" s="10">
        <v>7.4077568054199219</v>
      </c>
      <c r="BL54" s="10">
        <v>12.585928916931152</v>
      </c>
      <c r="BM54" s="10">
        <v>23.110708236694336</v>
      </c>
      <c r="BN54" s="10">
        <v>52.843456268310547</v>
      </c>
      <c r="BO54" s="10">
        <v>95.83966064453125</v>
      </c>
      <c r="BP54" s="10">
        <v>34.384754180908203</v>
      </c>
      <c r="BQ54" s="10">
        <v>55.759487152099609</v>
      </c>
      <c r="BR54" s="10">
        <v>45.832332611083984</v>
      </c>
      <c r="BS54" s="10">
        <v>57.488552093505859</v>
      </c>
      <c r="BT54" s="10">
        <v>59.136043548583984</v>
      </c>
      <c r="BU54" s="10">
        <v>76.447845458984375</v>
      </c>
      <c r="BV54" s="10">
        <v>67.318458557128906</v>
      </c>
      <c r="BW54" s="10">
        <v>76.315452575683594</v>
      </c>
      <c r="BX54" s="10">
        <v>79.483299255371094</v>
      </c>
      <c r="BY54" s="10">
        <v>103.75132751464844</v>
      </c>
      <c r="BZ54" s="10">
        <v>30.765897750854492</v>
      </c>
      <c r="CA54" s="10">
        <v>65.247169494628906</v>
      </c>
      <c r="CB54" s="10">
        <v>58.209239959716797</v>
      </c>
      <c r="CC54" s="10">
        <v>110.38676452636719</v>
      </c>
      <c r="CD54" s="10">
        <v>103.2890625</v>
      </c>
      <c r="CE54" s="10">
        <v>104.20005798339844</v>
      </c>
      <c r="CF54" s="10">
        <v>90.701805114746094</v>
      </c>
      <c r="CG54" s="10">
        <v>121.48401641845703</v>
      </c>
      <c r="CH54" s="10">
        <v>156.27957153320313</v>
      </c>
      <c r="CI54" s="10">
        <v>139.52166748046875</v>
      </c>
      <c r="CJ54" s="10">
        <v>147.44697570800781</v>
      </c>
      <c r="CK54" s="10">
        <v>154.31509399414063</v>
      </c>
      <c r="CL54" s="10">
        <v>172.41287231445313</v>
      </c>
      <c r="CM54" s="10">
        <v>135.30250549316406</v>
      </c>
      <c r="CN54" s="10">
        <v>118.43442535400391</v>
      </c>
      <c r="CO54" s="10">
        <v>174.58750915527344</v>
      </c>
      <c r="CP54" s="10">
        <v>11.068804740905762</v>
      </c>
      <c r="CQ54" s="10">
        <v>9.3203706741333008</v>
      </c>
      <c r="CR54" s="10">
        <v>10.383179664611816</v>
      </c>
      <c r="CS54" s="10">
        <v>9.6996212005615234</v>
      </c>
      <c r="CT54" s="10">
        <v>13.126687049865723</v>
      </c>
      <c r="CU54" s="10">
        <v>14.155750274658203</v>
      </c>
      <c r="CV54" s="10">
        <v>21.972719192504883</v>
      </c>
      <c r="CW54" s="10">
        <v>15.62122917175293</v>
      </c>
      <c r="CX54" s="10">
        <v>28.91285514831543</v>
      </c>
      <c r="CY54" s="10">
        <v>24.493768692016602</v>
      </c>
      <c r="CZ54" s="10">
        <v>29.465312957763672</v>
      </c>
      <c r="DA54" s="10">
        <v>25.654731750488281</v>
      </c>
      <c r="DB54" s="10">
        <v>25.843681335449219</v>
      </c>
      <c r="DC54" s="10">
        <v>33.328784942626953</v>
      </c>
      <c r="DD54" s="10">
        <v>29.612926483154297</v>
      </c>
      <c r="DE54" s="10">
        <v>6.0971860885620117</v>
      </c>
      <c r="DF54" s="10">
        <v>4.7285184860229492</v>
      </c>
      <c r="DG54" s="10">
        <v>6.783411979675293</v>
      </c>
      <c r="DH54" s="10">
        <v>29.462841033935547</v>
      </c>
      <c r="DI54" s="10">
        <v>30.641202926635742</v>
      </c>
      <c r="DJ54" s="10">
        <v>41.178096771240234</v>
      </c>
      <c r="DK54" s="10">
        <v>42.068424224853516</v>
      </c>
      <c r="DL54" s="10">
        <v>38.009586334228516</v>
      </c>
      <c r="DM54" s="10">
        <v>5.2284407615661621</v>
      </c>
      <c r="DN54" s="10">
        <v>6.3575472831726074</v>
      </c>
      <c r="DO54" s="10">
        <v>5.4283990859985352</v>
      </c>
      <c r="DP54" s="10">
        <v>8.7378711700439453</v>
      </c>
      <c r="DQ54" s="10">
        <v>5.2839431762695313</v>
      </c>
      <c r="DR54" s="10">
        <v>23.328649520874023</v>
      </c>
      <c r="DS54" s="10">
        <v>37.405197143554688</v>
      </c>
      <c r="DT54" s="10">
        <v>16.983297348022461</v>
      </c>
      <c r="DU54" s="10">
        <v>8.0714082717895508</v>
      </c>
      <c r="DV54" s="10">
        <v>4.8378076553344727</v>
      </c>
      <c r="DW54" s="10">
        <v>14.945646286010742</v>
      </c>
      <c r="DX54" s="10">
        <v>15.998147010803223</v>
      </c>
      <c r="DY54" s="10">
        <v>1.9274026155471802</v>
      </c>
      <c r="DZ54" s="10">
        <v>5.2595276832580566</v>
      </c>
      <c r="EA54" s="10">
        <v>6.5263681411743164</v>
      </c>
      <c r="EB54" s="10">
        <v>8.5041227340698242</v>
      </c>
      <c r="EC54" s="10">
        <v>9.3869600296020508</v>
      </c>
      <c r="ED54" s="10">
        <v>8.961298942565918</v>
      </c>
      <c r="EE54" s="10">
        <v>12.577584266662598</v>
      </c>
      <c r="EF54" s="10">
        <v>10.976014137268066</v>
      </c>
      <c r="EG54" s="10">
        <v>12.955430030822754</v>
      </c>
      <c r="EH54" s="10">
        <v>17.801118850708008</v>
      </c>
      <c r="EI54" s="10">
        <v>13.831588745117188</v>
      </c>
      <c r="EJ54" s="10">
        <v>19.660516738891602</v>
      </c>
      <c r="EK54" s="10">
        <v>19.099857330322266</v>
      </c>
      <c r="EL54" s="10">
        <v>12.412876129150391</v>
      </c>
      <c r="EM54" s="10">
        <v>15.427976608276367</v>
      </c>
      <c r="EN54" s="10">
        <v>2.7060146331787109</v>
      </c>
      <c r="EO54" s="10">
        <v>0.89597249031066895</v>
      </c>
      <c r="EP54" s="10">
        <v>0.99632894992828369</v>
      </c>
      <c r="EQ54" s="10">
        <v>0.85190510749816895</v>
      </c>
      <c r="ER54" s="10">
        <v>17.172534942626953</v>
      </c>
      <c r="ES54" s="10">
        <v>0.78161031007766724</v>
      </c>
      <c r="ET54" s="10">
        <v>0.47723767161369324</v>
      </c>
      <c r="EU54" s="10">
        <v>1.2755464315414429</v>
      </c>
      <c r="EV54" s="10">
        <v>0.93868857622146606</v>
      </c>
      <c r="EW54" s="10">
        <v>13.025190353393555</v>
      </c>
      <c r="EX54" s="10">
        <v>0.96323812007904053</v>
      </c>
      <c r="EY54" s="10">
        <v>2.9630720615386963</v>
      </c>
      <c r="EZ54" s="10">
        <v>3.5186452865600586</v>
      </c>
      <c r="FA54" s="10">
        <v>5.3606524467468262</v>
      </c>
      <c r="FB54" s="10">
        <v>15.609951972961426</v>
      </c>
      <c r="FC54" s="10">
        <v>0.66929113864898682</v>
      </c>
      <c r="FD54" s="10">
        <v>3.4724624156951904</v>
      </c>
      <c r="FE54" s="10">
        <v>6.9694657325744629</v>
      </c>
      <c r="FF54" s="10">
        <v>7.0283708572387695</v>
      </c>
      <c r="FG54" s="10">
        <v>3.0186498165130615</v>
      </c>
      <c r="FH54" s="10">
        <v>3.5455307960510254</v>
      </c>
      <c r="FI54" s="10">
        <v>4.3590707778930664</v>
      </c>
      <c r="FJ54" s="10">
        <v>7.6431031227111816</v>
      </c>
      <c r="FK54" s="10">
        <v>6.7933182716369629</v>
      </c>
    </row>
    <row r="55" spans="3:167" x14ac:dyDescent="0.2">
      <c r="C55" s="10">
        <f t="shared" si="9"/>
        <v>1.7015433E-15</v>
      </c>
      <c r="D55" s="10">
        <f t="shared" si="10"/>
        <v>1.1948567407671362E-4</v>
      </c>
      <c r="E55" s="10" cm="1">
        <f t="array" ref="E55">gavg(AF55,EL55)</f>
        <v>4.5311580633745532E-8</v>
      </c>
      <c r="F55" s="10" cm="1">
        <f t="array" ref="F55">lnstdev(AF55,EL55)</f>
        <v>4.7020766320560297</v>
      </c>
      <c r="G55" s="10">
        <f t="shared" si="11"/>
        <v>111</v>
      </c>
      <c r="H55" s="10">
        <f t="shared" si="12"/>
        <v>1.7015433E-15</v>
      </c>
      <c r="I55" s="10">
        <f t="shared" si="13"/>
        <v>6.1764261000000004E-8</v>
      </c>
      <c r="J55" s="10"/>
      <c r="K55" s="10"/>
      <c r="L55" s="10">
        <f t="shared" si="14"/>
        <v>10</v>
      </c>
      <c r="M55" s="10">
        <f t="shared" si="15"/>
        <v>2.3188262074369526E-11</v>
      </c>
      <c r="N55" s="10">
        <f t="shared" si="16"/>
        <v>1.1948567407671362E-4</v>
      </c>
      <c r="O55" s="10">
        <f t="shared" si="17"/>
        <v>23</v>
      </c>
      <c r="P55" s="10">
        <f t="shared" si="18"/>
        <v>3.7719340218008074E-10</v>
      </c>
      <c r="Q55" s="10">
        <f t="shared" si="19"/>
        <v>5.6316641438529337E-7</v>
      </c>
      <c r="R55" s="10">
        <f t="shared" si="20"/>
        <v>29</v>
      </c>
      <c r="S55" s="10">
        <f t="shared" si="21"/>
        <v>5.5090505291056756E-13</v>
      </c>
      <c r="T55" s="10">
        <f t="shared" si="22"/>
        <v>9.504214906661919E-7</v>
      </c>
      <c r="U55" s="10">
        <f t="shared" si="23"/>
        <v>31</v>
      </c>
      <c r="V55" s="10">
        <f t="shared" si="0"/>
        <v>4.1698553693756742E-11</v>
      </c>
      <c r="W55" s="10">
        <f t="shared" si="1"/>
        <v>1.5062615656750936E-5</v>
      </c>
      <c r="X55" s="10">
        <f t="shared" si="2"/>
        <v>18</v>
      </c>
      <c r="Y55" s="10">
        <f t="shared" si="3"/>
        <v>1.0369951092756689E-8</v>
      </c>
      <c r="Z55" s="10">
        <f t="shared" si="4"/>
        <v>8.5031179374096142E-6</v>
      </c>
      <c r="AA55" s="10">
        <f t="shared" si="5"/>
        <v>4</v>
      </c>
      <c r="AB55" s="10">
        <f t="shared" si="6"/>
        <v>4.1698553693756742E-11</v>
      </c>
      <c r="AC55" s="10">
        <f t="shared" si="7"/>
        <v>1.5062615656750936E-5</v>
      </c>
      <c r="AD55" s="10">
        <f t="shared" si="8"/>
        <v>14</v>
      </c>
      <c r="AE55" t="s">
        <v>60</v>
      </c>
      <c r="AF55" s="10">
        <v>2.8402078000000001E-15</v>
      </c>
      <c r="AG55" s="10">
        <v>1.7015433E-15</v>
      </c>
      <c r="AH55" s="10">
        <v>1.8122404999999999E-10</v>
      </c>
      <c r="AI55" s="10">
        <v>3.1611707E-9</v>
      </c>
      <c r="AJ55" s="10">
        <v>1.6908112000000001E-8</v>
      </c>
      <c r="AK55" s="10">
        <v>1.6704702000000001E-8</v>
      </c>
      <c r="AL55" s="10">
        <v>2.9770570000000001E-8</v>
      </c>
      <c r="AM55" s="10">
        <v>6.1764261000000004E-8</v>
      </c>
      <c r="AN55" s="10">
        <v>6.1331554999999997E-8</v>
      </c>
      <c r="AO55" s="10">
        <v>4.9384418000000002E-8</v>
      </c>
      <c r="AP55" s="10">
        <v>2.3188262074369526E-11</v>
      </c>
      <c r="AQ55" s="10">
        <v>1.1685834244712368E-10</v>
      </c>
      <c r="AR55" s="10">
        <v>5.448391959816945E-9</v>
      </c>
      <c r="AS55" s="10">
        <v>6.0753265529456257E-8</v>
      </c>
      <c r="AT55" s="10">
        <v>3.9394839745909849E-7</v>
      </c>
      <c r="AU55" s="10">
        <v>5.7063243730226532E-7</v>
      </c>
      <c r="AV55" s="10">
        <v>5.9878016145376023E-7</v>
      </c>
      <c r="AW55" s="10">
        <v>2.037225931417197E-5</v>
      </c>
      <c r="AX55" s="10">
        <v>3.5843499972543214E-6</v>
      </c>
      <c r="AY55" s="10">
        <v>1.4797286894463468E-5</v>
      </c>
      <c r="AZ55" s="10">
        <v>1.6591242456343025E-5</v>
      </c>
      <c r="BA55" s="10">
        <v>1.8155760699301027E-5</v>
      </c>
      <c r="BB55" s="10">
        <v>2.2296606402960606E-5</v>
      </c>
      <c r="BC55" s="10">
        <v>4.9071462854044512E-5</v>
      </c>
      <c r="BD55" s="10">
        <v>3.6041230487171561E-5</v>
      </c>
      <c r="BE55" s="10">
        <v>8.681594772497192E-5</v>
      </c>
      <c r="BF55" s="10">
        <v>4.3660056689986959E-5</v>
      </c>
      <c r="BG55" s="10">
        <v>1.1948567407671362E-4</v>
      </c>
      <c r="BH55" s="10">
        <v>7.988356810528785E-5</v>
      </c>
      <c r="BI55" s="10">
        <v>8.1147720487617647E-11</v>
      </c>
      <c r="BJ55" s="10">
        <v>2.1408703698710951E-9</v>
      </c>
      <c r="BK55" s="10">
        <v>1.7317090816870717E-10</v>
      </c>
      <c r="BL55" s="10">
        <v>1.5015215737435028E-8</v>
      </c>
      <c r="BM55" s="10">
        <v>1.5977657545365855E-9</v>
      </c>
      <c r="BN55" s="10">
        <v>3.9191933683998116E-8</v>
      </c>
      <c r="BO55" s="10">
        <v>1.7372603046082378E-7</v>
      </c>
      <c r="BP55" s="10">
        <v>3.9047873650972144E-10</v>
      </c>
      <c r="BQ55" s="10">
        <v>3.7832835990931901E-9</v>
      </c>
      <c r="BR55" s="10">
        <v>3.9011458652536396E-9</v>
      </c>
      <c r="BS55" s="10">
        <v>1.0224513302684985E-8</v>
      </c>
      <c r="BT55" s="10">
        <v>3.2318741525718404E-8</v>
      </c>
      <c r="BU55" s="10">
        <v>3.1399665990786468E-8</v>
      </c>
      <c r="BV55" s="10">
        <v>5.4182787349369226E-8</v>
      </c>
      <c r="BW55" s="10">
        <v>7.1366514486687321E-8</v>
      </c>
      <c r="BX55" s="10">
        <v>1.1578801779143116E-7</v>
      </c>
      <c r="BY55" s="10">
        <v>1.2438667607379804E-7</v>
      </c>
      <c r="BZ55" s="10">
        <v>3.7719340218008074E-10</v>
      </c>
      <c r="CA55" s="10">
        <v>3.5654289057968889E-8</v>
      </c>
      <c r="CB55" s="10">
        <v>3.0512710087631968E-8</v>
      </c>
      <c r="CC55" s="10">
        <v>1.0318935413413183E-7</v>
      </c>
      <c r="CD55" s="10">
        <v>1.4639508953589333E-7</v>
      </c>
      <c r="CE55" s="10">
        <v>1.1531833032737866E-7</v>
      </c>
      <c r="CF55" s="10">
        <v>1.5071465260579841E-7</v>
      </c>
      <c r="CG55" s="10">
        <v>2.3273377753846161E-7</v>
      </c>
      <c r="CH55" s="10">
        <v>1.9569051831425079E-7</v>
      </c>
      <c r="CI55" s="10">
        <v>3.8052732671937949E-7</v>
      </c>
      <c r="CJ55" s="10">
        <v>2.0799993902257814E-7</v>
      </c>
      <c r="CK55" s="10">
        <v>2.5365252581889578E-7</v>
      </c>
      <c r="CL55" s="10">
        <v>4.9185842704821436E-7</v>
      </c>
      <c r="CM55" s="10">
        <v>5.6316641438529337E-7</v>
      </c>
      <c r="CN55" s="10">
        <v>5.2222596811406169E-7</v>
      </c>
      <c r="CO55" s="10">
        <v>3.2041084360717983E-7</v>
      </c>
      <c r="CP55" s="10">
        <v>5.7207013840849129E-11</v>
      </c>
      <c r="CQ55" s="10">
        <v>3.8965577531743772E-10</v>
      </c>
      <c r="CR55" s="10">
        <v>1.0067093147901853E-9</v>
      </c>
      <c r="CS55" s="10">
        <v>4.4778382759391939E-9</v>
      </c>
      <c r="CT55" s="10">
        <v>3.7679806187445147E-9</v>
      </c>
      <c r="CU55" s="10">
        <v>1.4122935301652222E-8</v>
      </c>
      <c r="CV55" s="10">
        <v>1.0615806575752979E-8</v>
      </c>
      <c r="CW55" s="10">
        <v>3.3431317225804335E-8</v>
      </c>
      <c r="CX55" s="10">
        <v>7.4597816212394079E-8</v>
      </c>
      <c r="CY55" s="10">
        <v>4.7167056889003191E-8</v>
      </c>
      <c r="CZ55" s="10">
        <v>7.4189826649916862E-8</v>
      </c>
      <c r="DA55" s="10">
        <v>1.1719127300941885E-7</v>
      </c>
      <c r="DB55" s="10">
        <v>2.6689458336519093E-7</v>
      </c>
      <c r="DC55" s="10">
        <v>4.878425489379021E-7</v>
      </c>
      <c r="DD55" s="10">
        <v>8.0965027710343829E-8</v>
      </c>
      <c r="DE55" s="10">
        <v>1.9040198942477296E-11</v>
      </c>
      <c r="DF55" s="10">
        <v>7.6647929441135771E-11</v>
      </c>
      <c r="DG55" s="10">
        <v>1.2545853390112801E-9</v>
      </c>
      <c r="DH55" s="10">
        <v>3.7204867422594663E-7</v>
      </c>
      <c r="DI55" s="10">
        <v>8.041428892323694E-7</v>
      </c>
      <c r="DJ55" s="10">
        <v>7.5377173143697565E-7</v>
      </c>
      <c r="DK55" s="10">
        <v>9.504214906661919E-7</v>
      </c>
      <c r="DL55" s="10">
        <v>8.8032454193595822E-7</v>
      </c>
      <c r="DM55" s="10">
        <v>5.5090505291056756E-13</v>
      </c>
      <c r="DN55" s="10">
        <v>8.5532284688363822E-12</v>
      </c>
      <c r="DO55" s="10">
        <v>3.9059717532199027E-12</v>
      </c>
      <c r="DP55" s="10">
        <v>7.4096794519628029E-11</v>
      </c>
      <c r="DQ55" s="10">
        <v>3.8193824831131062E-12</v>
      </c>
      <c r="DR55" s="10">
        <v>2.5881016185110127E-7</v>
      </c>
      <c r="DS55" s="10">
        <v>4.9652214732982956E-7</v>
      </c>
      <c r="DT55" s="10">
        <v>8.1260934085345188E-8</v>
      </c>
      <c r="DU55" s="10">
        <v>8.814766380822827E-7</v>
      </c>
      <c r="DV55" s="10">
        <v>1.0369951092756689E-8</v>
      </c>
      <c r="DW55" s="10">
        <v>5.8346698464648647E-6</v>
      </c>
      <c r="DX55" s="10">
        <v>8.5031179374096142E-6</v>
      </c>
      <c r="DY55" s="10">
        <v>4.1698553693756742E-11</v>
      </c>
      <c r="DZ55" s="10">
        <v>6.516499892601766E-9</v>
      </c>
      <c r="EA55" s="10">
        <v>3.4450850203743592E-8</v>
      </c>
      <c r="EB55" s="10">
        <v>1.6859857739158229E-7</v>
      </c>
      <c r="EC55" s="10">
        <v>1.9099127237200803E-7</v>
      </c>
      <c r="ED55" s="10">
        <v>9.3079164830884169E-7</v>
      </c>
      <c r="EE55" s="10">
        <v>9.6590792517739219E-7</v>
      </c>
      <c r="EF55" s="10">
        <v>9.0680586881919494E-7</v>
      </c>
      <c r="EG55" s="10">
        <v>6.1005991600026029E-6</v>
      </c>
      <c r="EH55" s="10">
        <v>7.120757565825657E-6</v>
      </c>
      <c r="EI55" s="10">
        <v>1.0032665627600906E-5</v>
      </c>
      <c r="EJ55" s="10">
        <v>1.5062615656750936E-5</v>
      </c>
      <c r="EK55" s="10">
        <v>1.2897362816707122E-5</v>
      </c>
      <c r="EL55" s="10">
        <v>3.488179874640658E-6</v>
      </c>
      <c r="EM55" s="10">
        <v>2.0011018385734733E-14</v>
      </c>
      <c r="EN55" s="10">
        <v>2.1134435078521943E-14</v>
      </c>
      <c r="EO55" s="10">
        <v>4.3434689058082755E-14</v>
      </c>
      <c r="EP55" s="10">
        <v>2.0843518330672841E-13</v>
      </c>
      <c r="EQ55" s="10">
        <v>1.171410322808685E-12</v>
      </c>
      <c r="ER55" s="10">
        <v>1.5757340758922084E-14</v>
      </c>
      <c r="ES55" s="10">
        <v>8.9732530545889655E-13</v>
      </c>
      <c r="ET55" s="10">
        <v>9.8106809964321378E-11</v>
      </c>
      <c r="EU55" s="10">
        <v>2.7174187986792013E-10</v>
      </c>
      <c r="EV55" s="10">
        <v>2.9795331769405164E-10</v>
      </c>
      <c r="EW55" s="10">
        <v>3.8212224455846681E-14</v>
      </c>
      <c r="EX55" s="10">
        <v>3.8283953066310068E-12</v>
      </c>
      <c r="EY55" s="10">
        <v>1.4885114227222261E-9</v>
      </c>
      <c r="EZ55" s="10">
        <v>6.2487490810133558E-9</v>
      </c>
      <c r="FA55" s="10">
        <v>2.079504438337732E-7</v>
      </c>
      <c r="FB55" s="10">
        <v>6.3685991204945584E-14</v>
      </c>
      <c r="FC55" s="10">
        <v>1.3216748409045901E-10</v>
      </c>
      <c r="FD55" s="10">
        <v>2.6512053898922278E-8</v>
      </c>
      <c r="FE55" s="10">
        <v>7.9532500958318109E-8</v>
      </c>
      <c r="FF55" s="10">
        <v>2.1106984353557373E-7</v>
      </c>
      <c r="FG55" s="10">
        <v>1.1181637189129526E-12</v>
      </c>
      <c r="FH55" s="10">
        <v>1.373092639266766E-9</v>
      </c>
      <c r="FI55" s="10">
        <v>2.1125412810508911E-7</v>
      </c>
      <c r="FJ55" s="10">
        <v>2.1659534563521684E-7</v>
      </c>
      <c r="FK55" s="10">
        <v>1.4095475461005349E-6</v>
      </c>
    </row>
    <row r="56" spans="3:167" x14ac:dyDescent="0.2">
      <c r="C56" s="10">
        <f t="shared" si="9"/>
        <v>5.7126064028456832E-13</v>
      </c>
      <c r="D56" s="10">
        <f t="shared" si="10"/>
        <v>3.3453019568696618E-5</v>
      </c>
      <c r="E56" s="10" cm="1">
        <f t="array" ref="E56">gavg(AF56,EL56)</f>
        <v>2.7469906818953117E-8</v>
      </c>
      <c r="F56" s="10" cm="1">
        <f t="array" ref="F56">lnstdev(AF56,EL56)</f>
        <v>4.1710318787980301</v>
      </c>
      <c r="G56" s="10">
        <f t="shared" si="11"/>
        <v>111</v>
      </c>
      <c r="H56" s="10">
        <f t="shared" si="12"/>
        <v>8.8125790000000002E-13</v>
      </c>
      <c r="I56" s="10">
        <f t="shared" si="13"/>
        <v>2.6126184000000001E-8</v>
      </c>
      <c r="J56" s="10"/>
      <c r="K56" s="10"/>
      <c r="L56" s="10">
        <f t="shared" si="14"/>
        <v>10</v>
      </c>
      <c r="M56" s="10">
        <f t="shared" si="15"/>
        <v>3.1307834796878709E-11</v>
      </c>
      <c r="N56" s="10">
        <f t="shared" si="16"/>
        <v>3.3453019568696618E-5</v>
      </c>
      <c r="O56" s="10">
        <f t="shared" si="17"/>
        <v>23</v>
      </c>
      <c r="P56" s="10">
        <f t="shared" si="18"/>
        <v>1.7623791602996275E-10</v>
      </c>
      <c r="Q56" s="10">
        <f t="shared" si="19"/>
        <v>8.4519075764175399E-7</v>
      </c>
      <c r="R56" s="10">
        <f t="shared" si="20"/>
        <v>29</v>
      </c>
      <c r="S56" s="10">
        <f t="shared" si="21"/>
        <v>5.7126064028456832E-13</v>
      </c>
      <c r="T56" s="10">
        <f t="shared" si="22"/>
        <v>7.4996616115316726E-7</v>
      </c>
      <c r="U56" s="10">
        <f t="shared" si="23"/>
        <v>31</v>
      </c>
      <c r="V56" s="10">
        <f t="shared" si="0"/>
        <v>9.9533820800974296E-12</v>
      </c>
      <c r="W56" s="10">
        <f t="shared" si="1"/>
        <v>5.9629203210395671E-6</v>
      </c>
      <c r="X56" s="10">
        <f t="shared" si="2"/>
        <v>18</v>
      </c>
      <c r="Y56" s="10">
        <f t="shared" si="3"/>
        <v>3.3329636151455037E-9</v>
      </c>
      <c r="Z56" s="10">
        <f t="shared" si="4"/>
        <v>4.2939700646059764E-6</v>
      </c>
      <c r="AA56" s="10">
        <f t="shared" si="5"/>
        <v>4</v>
      </c>
      <c r="AB56" s="10">
        <f t="shared" si="6"/>
        <v>9.9533820800974296E-12</v>
      </c>
      <c r="AC56" s="10">
        <f t="shared" si="7"/>
        <v>5.9629203210395671E-6</v>
      </c>
      <c r="AD56" s="10">
        <f t="shared" si="8"/>
        <v>14</v>
      </c>
      <c r="AE56" t="s">
        <v>61</v>
      </c>
      <c r="AF56" s="10">
        <v>8.8125790000000002E-13</v>
      </c>
      <c r="AG56" s="10">
        <v>8.9277577999999999E-12</v>
      </c>
      <c r="AH56" s="10">
        <v>2.2825212999999999E-10</v>
      </c>
      <c r="AI56" s="10">
        <v>5.6740434999999996E-10</v>
      </c>
      <c r="AJ56" s="10">
        <v>2.1812205000000002E-9</v>
      </c>
      <c r="AK56" s="10">
        <v>2.6126184000000001E-8</v>
      </c>
      <c r="AL56" s="10">
        <v>1.120853E-8</v>
      </c>
      <c r="AM56" s="10">
        <v>1.6130111999999999E-8</v>
      </c>
      <c r="AN56" s="10">
        <v>1.2301346E-8</v>
      </c>
      <c r="AO56" s="10">
        <v>2.5798141999999999E-8</v>
      </c>
      <c r="AP56" s="10">
        <v>3.1307834796878709E-11</v>
      </c>
      <c r="AQ56" s="10">
        <v>4.4566220158692715E-10</v>
      </c>
      <c r="AR56" s="10">
        <v>1.4149368343652213E-9</v>
      </c>
      <c r="AS56" s="10">
        <v>1.1297774271668004E-8</v>
      </c>
      <c r="AT56" s="10">
        <v>4.4013951594479295E-8</v>
      </c>
      <c r="AU56" s="10">
        <v>6.373907979195792E-8</v>
      </c>
      <c r="AV56" s="10">
        <v>3.0960367780608067E-7</v>
      </c>
      <c r="AW56" s="10">
        <v>5.1805801604132284E-7</v>
      </c>
      <c r="AX56" s="10">
        <v>3.3432156669732649E-6</v>
      </c>
      <c r="AY56" s="10">
        <v>1.2840353065257659E-6</v>
      </c>
      <c r="AZ56" s="10">
        <v>6.4407004174427129E-7</v>
      </c>
      <c r="BA56" s="10">
        <v>1.664841533965955E-6</v>
      </c>
      <c r="BB56" s="10">
        <v>3.5692517030838644E-6</v>
      </c>
      <c r="BC56" s="10">
        <v>3.1263866731023882E-6</v>
      </c>
      <c r="BD56" s="10">
        <v>2.5273689971072599E-5</v>
      </c>
      <c r="BE56" s="10">
        <v>2.1655861928593367E-5</v>
      </c>
      <c r="BF56" s="10">
        <v>3.3453019568696618E-5</v>
      </c>
      <c r="BG56" s="10">
        <v>3.7551640161836985E-6</v>
      </c>
      <c r="BH56" s="10">
        <v>2.0060062524862587E-5</v>
      </c>
      <c r="BI56" s="10">
        <v>1.4513477919475548E-10</v>
      </c>
      <c r="BJ56" s="10">
        <v>8.8569018785733533E-10</v>
      </c>
      <c r="BK56" s="10">
        <v>5.1549542412487881E-10</v>
      </c>
      <c r="BL56" s="10">
        <v>5.731703112132891E-9</v>
      </c>
      <c r="BM56" s="10">
        <v>5.7575629215386313E-10</v>
      </c>
      <c r="BN56" s="10">
        <v>4.2555381529832256E-8</v>
      </c>
      <c r="BO56" s="10">
        <v>2.7244258082943701E-7</v>
      </c>
      <c r="BP56" s="10">
        <v>1.868985583778939E-10</v>
      </c>
      <c r="BQ56" s="10">
        <v>3.2303639052337773E-9</v>
      </c>
      <c r="BR56" s="10">
        <v>2.2647291238479852E-9</v>
      </c>
      <c r="BS56" s="10">
        <v>6.7507750532451236E-9</v>
      </c>
      <c r="BT56" s="10">
        <v>3.587400996362647E-8</v>
      </c>
      <c r="BU56" s="10">
        <v>3.2518191848663213E-8</v>
      </c>
      <c r="BV56" s="10">
        <v>4.6385881914281025E-8</v>
      </c>
      <c r="BW56" s="10">
        <v>7.6514350683904915E-8</v>
      </c>
      <c r="BX56" s="10">
        <v>9.9222883855849449E-8</v>
      </c>
      <c r="BY56" s="10">
        <v>1.5724576546001319E-7</v>
      </c>
      <c r="BZ56" s="10">
        <v>1.7623791602996275E-10</v>
      </c>
      <c r="CA56" s="10">
        <v>3.9811074125904779E-8</v>
      </c>
      <c r="CB56" s="10">
        <v>2.003073773337777E-8</v>
      </c>
      <c r="CC56" s="10">
        <v>1.9171438786424682E-7</v>
      </c>
      <c r="CD56" s="10">
        <v>1.7828110174797605E-7</v>
      </c>
      <c r="CE56" s="10">
        <v>2.1103141994152042E-7</v>
      </c>
      <c r="CF56" s="10">
        <v>2.2070534121813495E-7</v>
      </c>
      <c r="CG56" s="10">
        <v>3.067616657443873E-7</v>
      </c>
      <c r="CH56" s="10">
        <v>5.057778266327636E-7</v>
      </c>
      <c r="CI56" s="10">
        <v>3.9800307152098203E-7</v>
      </c>
      <c r="CJ56" s="10">
        <v>5.3000468521451433E-7</v>
      </c>
      <c r="CK56" s="10">
        <v>7.714195442477223E-7</v>
      </c>
      <c r="CL56" s="10">
        <v>5.9253872158691167E-7</v>
      </c>
      <c r="CM56" s="10">
        <v>6.0558360340935101E-7</v>
      </c>
      <c r="CN56" s="10">
        <v>5.3229119619238057E-7</v>
      </c>
      <c r="CO56" s="10">
        <v>8.4519075764175399E-7</v>
      </c>
      <c r="CP56" s="10">
        <v>4.1256086449683703E-11</v>
      </c>
      <c r="CQ56" s="10">
        <v>1.382016425435302E-10</v>
      </c>
      <c r="CR56" s="10">
        <v>1.5995971044666854E-10</v>
      </c>
      <c r="CS56" s="10">
        <v>2.1047450654105616E-9</v>
      </c>
      <c r="CT56" s="10">
        <v>1.8117918913242632E-9</v>
      </c>
      <c r="CU56" s="10">
        <v>2.5160264042300864E-9</v>
      </c>
      <c r="CV56" s="10">
        <v>3.1160457260877782E-9</v>
      </c>
      <c r="CW56" s="10">
        <v>1.7766263982497837E-8</v>
      </c>
      <c r="CX56" s="10">
        <v>5.4342843907434898E-8</v>
      </c>
      <c r="CY56" s="10">
        <v>2.3363982985141243E-8</v>
      </c>
      <c r="CZ56" s="10">
        <v>5.7355093365374947E-8</v>
      </c>
      <c r="DA56" s="10">
        <v>7.448365841842223E-8</v>
      </c>
      <c r="DB56" s="10">
        <v>8.3842211305952577E-8</v>
      </c>
      <c r="DC56" s="10">
        <v>2.581032338106651E-7</v>
      </c>
      <c r="DD56" s="10">
        <v>4.6798616207921367E-8</v>
      </c>
      <c r="DE56" s="10">
        <v>5.8600541223612319E-12</v>
      </c>
      <c r="DF56" s="10">
        <v>3.6314552312013166E-11</v>
      </c>
      <c r="DG56" s="10">
        <v>9.104176174599984E-10</v>
      </c>
      <c r="DH56" s="10">
        <v>2.3337406208297728E-7</v>
      </c>
      <c r="DI56" s="10">
        <v>2.4504188834665453E-7</v>
      </c>
      <c r="DJ56" s="10">
        <v>7.4996616115316726E-7</v>
      </c>
      <c r="DK56" s="10">
        <v>5.69193206196716E-7</v>
      </c>
      <c r="DL56" s="10">
        <v>5.7004472021401564E-7</v>
      </c>
      <c r="DM56" s="10">
        <v>5.7126064028456832E-13</v>
      </c>
      <c r="DN56" s="10">
        <v>6.4306012615139312E-12</v>
      </c>
      <c r="DO56" s="10">
        <v>1.0299381991225489E-12</v>
      </c>
      <c r="DP56" s="10">
        <v>1.9354480825741591E-11</v>
      </c>
      <c r="DQ56" s="10">
        <v>1.9471181948330693E-12</v>
      </c>
      <c r="DR56" s="10">
        <v>2.3385526314179927E-7</v>
      </c>
      <c r="DS56" s="10">
        <v>4.1869643854199204E-7</v>
      </c>
      <c r="DT56" s="10">
        <v>2.6075396677969093E-8</v>
      </c>
      <c r="DU56" s="10">
        <v>3.6970836186363419E-7</v>
      </c>
      <c r="DV56" s="10">
        <v>3.3329636151455037E-9</v>
      </c>
      <c r="DW56" s="10">
        <v>3.5211881958084391E-6</v>
      </c>
      <c r="DX56" s="10">
        <v>4.2939700646059764E-6</v>
      </c>
      <c r="DY56" s="10">
        <v>9.9533820800974296E-12</v>
      </c>
      <c r="DZ56" s="10">
        <v>3.5123414065959667E-9</v>
      </c>
      <c r="EA56" s="10">
        <v>2.0575422735598937E-8</v>
      </c>
      <c r="EB56" s="10">
        <v>1.3253865298899853E-7</v>
      </c>
      <c r="EC56" s="10">
        <v>1.4735523865950888E-7</v>
      </c>
      <c r="ED56" s="10">
        <v>2.494653178059469E-7</v>
      </c>
      <c r="EE56" s="10">
        <v>5.4904198284805054E-7</v>
      </c>
      <c r="EF56" s="10">
        <v>5.7686921412692192E-7</v>
      </c>
      <c r="EG56" s="10">
        <v>2.464935543707501E-6</v>
      </c>
      <c r="EH56" s="10">
        <v>4.4505815089005286E-6</v>
      </c>
      <c r="EI56" s="10">
        <v>4.4338544496426518E-6</v>
      </c>
      <c r="EJ56" s="10">
        <v>5.9629203210395671E-6</v>
      </c>
      <c r="EK56" s="10">
        <v>5.5440928392457166E-6</v>
      </c>
      <c r="EL56" s="10">
        <v>1.8215017820958665E-6</v>
      </c>
      <c r="EM56" s="10">
        <v>8.8996634363780928E-15</v>
      </c>
      <c r="EN56" s="10">
        <v>1.5896409651754709E-14</v>
      </c>
      <c r="EO56" s="10">
        <v>4.9795544483210723E-15</v>
      </c>
      <c r="EP56" s="10">
        <v>1.917768919606648E-14</v>
      </c>
      <c r="EQ56" s="10">
        <v>7.3044959125903381E-14</v>
      </c>
      <c r="ER56" s="10">
        <v>1.0648000480432795E-14</v>
      </c>
      <c r="ES56" s="10">
        <v>3.1477658061095493E-15</v>
      </c>
      <c r="ET56" s="10">
        <v>2.2369868250144583E-13</v>
      </c>
      <c r="EU56" s="10">
        <v>5.4691566902390026E-13</v>
      </c>
      <c r="EV56" s="10">
        <v>4.6315836082349501E-13</v>
      </c>
      <c r="EW56" s="10">
        <v>1.2270941320501867E-14</v>
      </c>
      <c r="EX56" s="10">
        <v>9.0120247400440019E-15</v>
      </c>
      <c r="EY56" s="10">
        <v>1.253528320296139E-11</v>
      </c>
      <c r="EZ56" s="10">
        <v>6.6318796651671033E-11</v>
      </c>
      <c r="FA56" s="10">
        <v>1.1268437035907962E-8</v>
      </c>
      <c r="FB56" s="10">
        <v>1.0060271076083582E-14</v>
      </c>
      <c r="FC56" s="10">
        <v>1.6487059589156913E-12</v>
      </c>
      <c r="FD56" s="10">
        <v>7.0312618118899817E-10</v>
      </c>
      <c r="FE56" s="10">
        <v>4.1116667627386471E-9</v>
      </c>
      <c r="FF56" s="10">
        <v>2.2182792258234796E-8</v>
      </c>
      <c r="FG56" s="10">
        <v>1.6563825265662198E-14</v>
      </c>
      <c r="FH56" s="10">
        <v>1.7722184522506841E-10</v>
      </c>
      <c r="FI56" s="10">
        <v>6.8803794144328851E-9</v>
      </c>
      <c r="FJ56" s="10">
        <v>2.5815796310331546E-8</v>
      </c>
      <c r="FK56" s="10">
        <v>2.4538895870594292E-7</v>
      </c>
    </row>
    <row r="57" spans="3:167" x14ac:dyDescent="0.2">
      <c r="C57" s="10">
        <f t="shared" si="9"/>
        <v>158821.66292140304</v>
      </c>
      <c r="D57" s="10">
        <f t="shared" si="10"/>
        <v>522130150000000</v>
      </c>
      <c r="E57" s="10" cm="1">
        <f t="array" ref="E57">gavg(AF57,EL57)</f>
        <v>328249151.80522919</v>
      </c>
      <c r="F57" s="10" cm="1">
        <f t="array" ref="F57">lnstdev(AF57,EL57)</f>
        <v>4.2418526108428338</v>
      </c>
      <c r="G57" s="10">
        <f t="shared" si="11"/>
        <v>111</v>
      </c>
      <c r="H57" s="10">
        <f t="shared" si="12"/>
        <v>38711984</v>
      </c>
      <c r="I57" s="10">
        <f t="shared" si="13"/>
        <v>522130150000000</v>
      </c>
      <c r="J57" s="10"/>
      <c r="K57" s="10"/>
      <c r="L57" s="10">
        <f t="shared" si="14"/>
        <v>10</v>
      </c>
      <c r="M57" s="10">
        <f t="shared" si="15"/>
        <v>158821.66292140304</v>
      </c>
      <c r="N57" s="10">
        <f t="shared" si="16"/>
        <v>196002204505.57706</v>
      </c>
      <c r="O57" s="10">
        <f t="shared" si="17"/>
        <v>23</v>
      </c>
      <c r="P57" s="10">
        <f t="shared" si="18"/>
        <v>195910448</v>
      </c>
      <c r="Q57" s="10">
        <f t="shared" si="19"/>
        <v>106431127552</v>
      </c>
      <c r="R57" s="10">
        <f t="shared" si="20"/>
        <v>29</v>
      </c>
      <c r="S57" s="10">
        <f t="shared" si="21"/>
        <v>41315008</v>
      </c>
      <c r="T57" s="10">
        <f t="shared" si="22"/>
        <v>4389855821824</v>
      </c>
      <c r="U57" s="10">
        <f t="shared" si="23"/>
        <v>31</v>
      </c>
      <c r="V57" s="10">
        <f t="shared" si="0"/>
        <v>1128365.125</v>
      </c>
      <c r="W57" s="10">
        <f t="shared" si="1"/>
        <v>29201430528</v>
      </c>
      <c r="X57" s="10">
        <f t="shared" si="2"/>
        <v>18</v>
      </c>
      <c r="Y57" s="10">
        <f t="shared" si="3"/>
        <v>1331516</v>
      </c>
      <c r="Z57" s="10">
        <f t="shared" si="4"/>
        <v>541276160</v>
      </c>
      <c r="AA57" s="10">
        <f t="shared" si="5"/>
        <v>4</v>
      </c>
      <c r="AB57" s="10">
        <f t="shared" si="6"/>
        <v>1128365.125</v>
      </c>
      <c r="AC57" s="10">
        <f t="shared" si="7"/>
        <v>29201430528</v>
      </c>
      <c r="AD57" s="10">
        <f t="shared" si="8"/>
        <v>14</v>
      </c>
      <c r="AE57" t="s">
        <v>62</v>
      </c>
      <c r="AF57" s="10">
        <v>341258200000000</v>
      </c>
      <c r="AG57" s="10">
        <v>522130150000000</v>
      </c>
      <c r="AH57" s="10">
        <v>4575552000</v>
      </c>
      <c r="AI57" s="10">
        <v>263183696</v>
      </c>
      <c r="AJ57" s="10">
        <v>124355728</v>
      </c>
      <c r="AK57" s="10">
        <v>100468232</v>
      </c>
      <c r="AL57" s="10">
        <v>70811480</v>
      </c>
      <c r="AM57" s="10">
        <v>38711984</v>
      </c>
      <c r="AN57" s="10">
        <v>40360144</v>
      </c>
      <c r="AO57" s="10">
        <v>46345652</v>
      </c>
      <c r="AP57" s="10">
        <v>196002204505.57706</v>
      </c>
      <c r="AQ57" s="10">
        <v>40860354140.688713</v>
      </c>
      <c r="AR57" s="10">
        <v>980029146.11412466</v>
      </c>
      <c r="AS57" s="10">
        <v>134744018.04428825</v>
      </c>
      <c r="AT57" s="10">
        <v>22115048.121076182</v>
      </c>
      <c r="AU57" s="10">
        <v>9747884.3269085791</v>
      </c>
      <c r="AV57" s="10">
        <v>12242489.31817003</v>
      </c>
      <c r="AW57" s="10">
        <v>1136480.3214466586</v>
      </c>
      <c r="AX57" s="10">
        <v>5901977.4150203457</v>
      </c>
      <c r="AY57" s="10">
        <v>1144551.2082577101</v>
      </c>
      <c r="AZ57" s="10">
        <v>717424.94867523026</v>
      </c>
      <c r="BA57" s="10">
        <v>603524.53601262765</v>
      </c>
      <c r="BB57" s="10">
        <v>738027.86476961523</v>
      </c>
      <c r="BC57" s="10">
        <v>288099.29866871145</v>
      </c>
      <c r="BD57" s="10">
        <v>288209.0613943481</v>
      </c>
      <c r="BE57" s="10">
        <v>271675.01472968288</v>
      </c>
      <c r="BF57" s="10">
        <v>567330.72160590813</v>
      </c>
      <c r="BG57" s="10">
        <v>158821.66292140304</v>
      </c>
      <c r="BH57" s="10">
        <v>311190.54000750883</v>
      </c>
      <c r="BI57" s="10">
        <v>78887417194.697205</v>
      </c>
      <c r="BJ57" s="10">
        <v>1525233169.598949</v>
      </c>
      <c r="BK57" s="10">
        <v>30155795289.062599</v>
      </c>
      <c r="BL57" s="10">
        <v>471967463.59278983</v>
      </c>
      <c r="BM57" s="10">
        <v>14087650304</v>
      </c>
      <c r="BN57" s="10">
        <v>1124069376</v>
      </c>
      <c r="BO57" s="10">
        <v>469662944</v>
      </c>
      <c r="BP57" s="10">
        <v>106431127552</v>
      </c>
      <c r="BQ57" s="10">
        <v>13151531008</v>
      </c>
      <c r="BR57" s="10">
        <v>10681486336</v>
      </c>
      <c r="BS57" s="10">
        <v>4844291072</v>
      </c>
      <c r="BT57" s="10">
        <v>1799390464</v>
      </c>
      <c r="BU57" s="10">
        <v>1976695424</v>
      </c>
      <c r="BV57" s="10">
        <v>1069771200</v>
      </c>
      <c r="BW57" s="10">
        <v>854066240</v>
      </c>
      <c r="BX57" s="10">
        <v>601073536</v>
      </c>
      <c r="BY57" s="10">
        <v>627453632</v>
      </c>
      <c r="BZ57" s="10">
        <v>94697963520</v>
      </c>
      <c r="CA57" s="10">
        <v>1503750784</v>
      </c>
      <c r="CB57" s="10">
        <v>1691373696</v>
      </c>
      <c r="CC57" s="10">
        <v>786465152</v>
      </c>
      <c r="CD57" s="10">
        <v>544460032</v>
      </c>
      <c r="CE57" s="10">
        <v>727962304</v>
      </c>
      <c r="CF57" s="10">
        <v>562213824</v>
      </c>
      <c r="CG57" s="10">
        <v>362597632</v>
      </c>
      <c r="CH57" s="10">
        <v>472100960</v>
      </c>
      <c r="CI57" s="10">
        <v>263700368</v>
      </c>
      <c r="CJ57" s="10">
        <v>508241440</v>
      </c>
      <c r="CK57" s="10">
        <v>400216000</v>
      </c>
      <c r="CL57" s="10">
        <v>217633488</v>
      </c>
      <c r="CM57" s="10">
        <v>195910448</v>
      </c>
      <c r="CN57" s="10">
        <v>204205568</v>
      </c>
      <c r="CO57" s="10">
        <v>336910784</v>
      </c>
      <c r="CP57" s="10">
        <v>137234317312</v>
      </c>
      <c r="CQ57" s="10">
        <v>14195758080</v>
      </c>
      <c r="CR57" s="10">
        <v>10699300864</v>
      </c>
      <c r="CS57" s="10">
        <v>1779170176</v>
      </c>
      <c r="CT57" s="10">
        <v>2840388096</v>
      </c>
      <c r="CU57" s="10">
        <v>1451652224</v>
      </c>
      <c r="CV57" s="10">
        <v>1345439104</v>
      </c>
      <c r="CW57" s="10">
        <v>347775584</v>
      </c>
      <c r="CX57" s="10">
        <v>288021056</v>
      </c>
      <c r="CY57" s="10">
        <v>465028032</v>
      </c>
      <c r="CZ57" s="10">
        <v>285980800</v>
      </c>
      <c r="DA57" s="10">
        <v>217095152</v>
      </c>
      <c r="DB57" s="10">
        <v>126079888</v>
      </c>
      <c r="DC57" s="10">
        <v>55898116</v>
      </c>
      <c r="DD57" s="10">
        <v>326949856</v>
      </c>
      <c r="DE57" s="10">
        <v>254481219584</v>
      </c>
      <c r="DF57" s="10">
        <v>55007473664</v>
      </c>
      <c r="DG57" s="10">
        <v>7090439680</v>
      </c>
      <c r="DH57" s="10">
        <v>82932504</v>
      </c>
      <c r="DI57" s="10">
        <v>50106292</v>
      </c>
      <c r="DJ57" s="10">
        <v>52937780</v>
      </c>
      <c r="DK57" s="10">
        <v>41315008</v>
      </c>
      <c r="DL57" s="10">
        <v>45544596</v>
      </c>
      <c r="DM57" s="10">
        <v>4389855821824</v>
      </c>
      <c r="DN57" s="10">
        <v>453658116096</v>
      </c>
      <c r="DO57" s="10">
        <v>1245861511168</v>
      </c>
      <c r="DP57" s="10">
        <v>99479150592</v>
      </c>
      <c r="DQ57" s="10">
        <v>956392472576</v>
      </c>
      <c r="DR57" s="10">
        <v>82979240</v>
      </c>
      <c r="DS57" s="10">
        <v>56036944</v>
      </c>
      <c r="DT57" s="10">
        <v>207612592</v>
      </c>
      <c r="DU57" s="10">
        <v>6920252</v>
      </c>
      <c r="DV57" s="10">
        <v>541276160</v>
      </c>
      <c r="DW57" s="10">
        <v>2391120</v>
      </c>
      <c r="DX57" s="10">
        <v>1331516</v>
      </c>
      <c r="DY57" s="10">
        <v>29201430528</v>
      </c>
      <c r="DZ57" s="10">
        <v>487639104</v>
      </c>
      <c r="EA57" s="10">
        <v>172832320</v>
      </c>
      <c r="EB57" s="10">
        <v>44686984</v>
      </c>
      <c r="EC57" s="10">
        <v>46871452</v>
      </c>
      <c r="ED57" s="10">
        <v>12120541</v>
      </c>
      <c r="EE57" s="10">
        <v>9283410</v>
      </c>
      <c r="EF57" s="10">
        <v>9616522</v>
      </c>
      <c r="EG57" s="10">
        <v>2223365.75</v>
      </c>
      <c r="EH57" s="10">
        <v>2110717</v>
      </c>
      <c r="EI57" s="10">
        <v>1128365.125</v>
      </c>
      <c r="EJ57" s="10">
        <v>1245067.5</v>
      </c>
      <c r="EK57" s="10">
        <v>1421230.875</v>
      </c>
      <c r="EL57" s="10">
        <v>3248728.75</v>
      </c>
      <c r="EM57" s="10">
        <v>650291267502080</v>
      </c>
      <c r="EN57" s="10">
        <v>534646152495104</v>
      </c>
      <c r="EO57" s="10">
        <v>47908808294400</v>
      </c>
      <c r="EP57" s="10">
        <v>15226824032256</v>
      </c>
      <c r="EQ57" s="10">
        <v>3266076737536</v>
      </c>
      <c r="ER57" s="10">
        <v>305982194319360</v>
      </c>
      <c r="ES57" s="10">
        <v>2863924248576</v>
      </c>
      <c r="ET57" s="10">
        <v>51239178240</v>
      </c>
      <c r="EU57" s="10">
        <v>17312561152</v>
      </c>
      <c r="EV57" s="10">
        <v>16030993408</v>
      </c>
      <c r="EW57" s="10">
        <v>68496029384704</v>
      </c>
      <c r="EX57" s="10">
        <v>561398087680</v>
      </c>
      <c r="EY57" s="10">
        <v>1659326720</v>
      </c>
      <c r="EZ57" s="10">
        <v>367585600</v>
      </c>
      <c r="FA57" s="10">
        <v>14556774</v>
      </c>
      <c r="FB57" s="10">
        <v>28965831966720</v>
      </c>
      <c r="FC57" s="10">
        <v>9671326720</v>
      </c>
      <c r="FD57" s="10">
        <v>114823512</v>
      </c>
      <c r="FE57" s="10">
        <v>62922236</v>
      </c>
      <c r="FF57" s="10">
        <v>29533976</v>
      </c>
      <c r="FG57" s="10">
        <v>1026115633152</v>
      </c>
      <c r="FH57" s="10">
        <v>1379711488</v>
      </c>
      <c r="FI57" s="10">
        <v>7706923.5</v>
      </c>
      <c r="FJ57" s="10">
        <v>16900170</v>
      </c>
      <c r="FK57" s="10">
        <v>2389235.25</v>
      </c>
    </row>
    <row r="58" spans="3:167" x14ac:dyDescent="0.2">
      <c r="C58" s="10">
        <f t="shared" si="9"/>
        <v>1076361.0239656458</v>
      </c>
      <c r="D58" s="10">
        <f t="shared" si="10"/>
        <v>9152461012992</v>
      </c>
      <c r="E58" s="10" cm="1">
        <f t="array" ref="E58">gavg(AF58,EL58)</f>
        <v>708835873.07528031</v>
      </c>
      <c r="F58" s="10" cm="1">
        <f t="array" ref="F58">lnstdev(AF58,EL58)</f>
        <v>3.6193883488992773</v>
      </c>
      <c r="G58" s="10">
        <f t="shared" si="11"/>
        <v>111</v>
      </c>
      <c r="H58" s="10">
        <f t="shared" si="12"/>
        <v>125478360</v>
      </c>
      <c r="I58" s="10">
        <f t="shared" si="13"/>
        <v>1108160300000</v>
      </c>
      <c r="J58" s="10"/>
      <c r="K58" s="10"/>
      <c r="L58" s="10">
        <f t="shared" si="14"/>
        <v>10</v>
      </c>
      <c r="M58" s="10">
        <f t="shared" si="15"/>
        <v>1076361.0239656458</v>
      </c>
      <c r="N58" s="10">
        <f t="shared" si="16"/>
        <v>227917027550.12793</v>
      </c>
      <c r="O58" s="10">
        <f t="shared" si="17"/>
        <v>23</v>
      </c>
      <c r="P58" s="10">
        <f t="shared" si="18"/>
        <v>200040432</v>
      </c>
      <c r="Q58" s="10">
        <f t="shared" si="19"/>
        <v>183975493632</v>
      </c>
      <c r="R58" s="10">
        <f t="shared" si="20"/>
        <v>29</v>
      </c>
      <c r="S58" s="10">
        <f t="shared" si="21"/>
        <v>54906604</v>
      </c>
      <c r="T58" s="10">
        <f t="shared" si="22"/>
        <v>9152461012992</v>
      </c>
      <c r="U58" s="10">
        <f t="shared" si="23"/>
        <v>31</v>
      </c>
      <c r="V58" s="10">
        <f t="shared" si="0"/>
        <v>3119540.5</v>
      </c>
      <c r="W58" s="10">
        <f t="shared" si="1"/>
        <v>193642987520</v>
      </c>
      <c r="X58" s="10">
        <f t="shared" si="2"/>
        <v>18</v>
      </c>
      <c r="Y58" s="10">
        <f t="shared" si="3"/>
        <v>3725724</v>
      </c>
      <c r="Z58" s="10">
        <f t="shared" si="4"/>
        <v>1451503360</v>
      </c>
      <c r="AA58" s="10">
        <f t="shared" si="5"/>
        <v>4</v>
      </c>
      <c r="AB58" s="10">
        <f t="shared" si="6"/>
        <v>3119540.5</v>
      </c>
      <c r="AC58" s="10">
        <f t="shared" si="7"/>
        <v>193642987520</v>
      </c>
      <c r="AD58" s="10">
        <f t="shared" si="8"/>
        <v>14</v>
      </c>
      <c r="AE58" t="s">
        <v>63</v>
      </c>
      <c r="AF58" s="10">
        <v>1108160300000</v>
      </c>
      <c r="AG58" s="10">
        <v>185930810000</v>
      </c>
      <c r="AH58" s="10">
        <v>7093744600</v>
      </c>
      <c r="AI58" s="10">
        <v>3983762900</v>
      </c>
      <c r="AJ58" s="10">
        <v>867644480</v>
      </c>
      <c r="AK58" s="10">
        <v>149434256</v>
      </c>
      <c r="AL58" s="10">
        <v>202617696</v>
      </c>
      <c r="AM58" s="10">
        <v>132202432</v>
      </c>
      <c r="AN58" s="10">
        <v>237298160</v>
      </c>
      <c r="AO58" s="10">
        <v>125478360</v>
      </c>
      <c r="AP58" s="10">
        <v>227917027550.12793</v>
      </c>
      <c r="AQ58" s="10">
        <v>16237786088.847639</v>
      </c>
      <c r="AR58" s="10">
        <v>7691793447.1683502</v>
      </c>
      <c r="AS58" s="10">
        <v>996647558.0629462</v>
      </c>
      <c r="AT58" s="10">
        <v>314611769.75841165</v>
      </c>
      <c r="AU58" s="10">
        <v>292548772.45865023</v>
      </c>
      <c r="AV58" s="10">
        <v>58652910.482188582</v>
      </c>
      <c r="AW58" s="10">
        <v>52826672.134535715</v>
      </c>
      <c r="AX58" s="10">
        <v>5809830.7623563129</v>
      </c>
      <c r="AY58" s="10">
        <v>18120990.833663199</v>
      </c>
      <c r="AZ58" s="10">
        <v>49201906.705695376</v>
      </c>
      <c r="BA58" s="10">
        <v>15245300.851595055</v>
      </c>
      <c r="BB58" s="10">
        <v>9603795.172123367</v>
      </c>
      <c r="BC58" s="10">
        <v>10694048.617448997</v>
      </c>
      <c r="BD58" s="10">
        <v>1191661.1269811818</v>
      </c>
      <c r="BE58" s="10">
        <v>1890647.7823568999</v>
      </c>
      <c r="BF58" s="10">
        <v>1076361.0239656458</v>
      </c>
      <c r="BG58" s="10">
        <v>11060489.136204023</v>
      </c>
      <c r="BH58" s="10">
        <v>1821217.8933506079</v>
      </c>
      <c r="BI58" s="10">
        <v>51987571010.184608</v>
      </c>
      <c r="BJ58" s="10">
        <v>9557896212.8420048</v>
      </c>
      <c r="BK58" s="10">
        <v>14370169857.463938</v>
      </c>
      <c r="BL58" s="10">
        <v>2195844528.354794</v>
      </c>
      <c r="BM58" s="10">
        <v>40139739136</v>
      </c>
      <c r="BN58" s="10">
        <v>1241757312</v>
      </c>
      <c r="BO58" s="10">
        <v>351779296</v>
      </c>
      <c r="BP58" s="10">
        <v>183975493632</v>
      </c>
      <c r="BQ58" s="10">
        <v>17261053952</v>
      </c>
      <c r="BR58" s="10">
        <v>20237445120</v>
      </c>
      <c r="BS58" s="10">
        <v>8515844608</v>
      </c>
      <c r="BT58" s="10">
        <v>1648436992</v>
      </c>
      <c r="BU58" s="10">
        <v>2350925568</v>
      </c>
      <c r="BV58" s="10">
        <v>1451270400</v>
      </c>
      <c r="BW58" s="10">
        <v>997400512</v>
      </c>
      <c r="BX58" s="10">
        <v>801058176</v>
      </c>
      <c r="BY58" s="10">
        <v>659803648</v>
      </c>
      <c r="BZ58" s="10">
        <v>174570258432</v>
      </c>
      <c r="CA58" s="10">
        <v>1638920064</v>
      </c>
      <c r="CB58" s="10">
        <v>2905995776</v>
      </c>
      <c r="CC58" s="10">
        <v>575787584</v>
      </c>
      <c r="CD58" s="10">
        <v>579360704</v>
      </c>
      <c r="CE58" s="10">
        <v>493765600</v>
      </c>
      <c r="CF58" s="10">
        <v>410963360</v>
      </c>
      <c r="CG58" s="10">
        <v>396020864</v>
      </c>
      <c r="CH58" s="10">
        <v>308988576</v>
      </c>
      <c r="CI58" s="10">
        <v>350554240</v>
      </c>
      <c r="CJ58" s="10">
        <v>278199392</v>
      </c>
      <c r="CK58" s="10">
        <v>200040432</v>
      </c>
      <c r="CL58" s="10">
        <v>290973184</v>
      </c>
      <c r="CM58" s="10">
        <v>223424976</v>
      </c>
      <c r="CN58" s="10">
        <v>222499312</v>
      </c>
      <c r="CO58" s="10">
        <v>206565808</v>
      </c>
      <c r="CP58" s="10">
        <v>268295077888</v>
      </c>
      <c r="CQ58" s="10">
        <v>67440377856</v>
      </c>
      <c r="CR58" s="10">
        <v>64911220736</v>
      </c>
      <c r="CS58" s="10">
        <v>4608454144</v>
      </c>
      <c r="CT58" s="10">
        <v>7245140480</v>
      </c>
      <c r="CU58" s="10">
        <v>5626232832</v>
      </c>
      <c r="CV58" s="10">
        <v>7051475456</v>
      </c>
      <c r="CW58" s="10">
        <v>879263616</v>
      </c>
      <c r="CX58" s="10">
        <v>532045312</v>
      </c>
      <c r="CY58" s="10">
        <v>1048355840</v>
      </c>
      <c r="CZ58" s="10">
        <v>513734912</v>
      </c>
      <c r="DA58" s="10">
        <v>344434368</v>
      </c>
      <c r="DB58" s="10">
        <v>308241888</v>
      </c>
      <c r="DC58" s="10">
        <v>129129664</v>
      </c>
      <c r="DD58" s="10">
        <v>632773568</v>
      </c>
      <c r="DE58" s="10">
        <v>1040465854464</v>
      </c>
      <c r="DF58" s="10">
        <v>130210021376</v>
      </c>
      <c r="DG58" s="10">
        <v>7450879488</v>
      </c>
      <c r="DH58" s="10">
        <v>126247280</v>
      </c>
      <c r="DI58" s="10">
        <v>125044752</v>
      </c>
      <c r="DJ58" s="10">
        <v>54906604</v>
      </c>
      <c r="DK58" s="10">
        <v>73908864</v>
      </c>
      <c r="DL58" s="10">
        <v>66678252</v>
      </c>
      <c r="DM58" s="10">
        <v>9152461012992</v>
      </c>
      <c r="DN58" s="10">
        <v>988639657984</v>
      </c>
      <c r="DO58" s="10">
        <v>5270606446592</v>
      </c>
      <c r="DP58" s="10">
        <v>451465019392</v>
      </c>
      <c r="DQ58" s="10">
        <v>2713724911616</v>
      </c>
      <c r="DR58" s="10">
        <v>99756784</v>
      </c>
      <c r="DS58" s="10">
        <v>89337272</v>
      </c>
      <c r="DT58" s="10">
        <v>651315008</v>
      </c>
      <c r="DU58" s="10">
        <v>21831826</v>
      </c>
      <c r="DV58" s="10">
        <v>1451503360</v>
      </c>
      <c r="DW58" s="10">
        <v>4244489.5</v>
      </c>
      <c r="DX58" s="10">
        <v>3725724</v>
      </c>
      <c r="DY58" s="10">
        <v>193642987520</v>
      </c>
      <c r="DZ58" s="10">
        <v>1497442048</v>
      </c>
      <c r="EA58" s="10">
        <v>317192416</v>
      </c>
      <c r="EB58" s="10">
        <v>64163344</v>
      </c>
      <c r="EC58" s="10">
        <v>63702924</v>
      </c>
      <c r="ED58" s="10">
        <v>35922024</v>
      </c>
      <c r="EE58" s="10">
        <v>22908238</v>
      </c>
      <c r="EF58" s="10">
        <v>19026868</v>
      </c>
      <c r="EG58" s="10">
        <v>5255890</v>
      </c>
      <c r="EH58" s="10">
        <v>3999728.75</v>
      </c>
      <c r="EI58" s="10">
        <v>3119540.5</v>
      </c>
      <c r="EJ58" s="10">
        <v>3297129</v>
      </c>
      <c r="EK58" s="10">
        <v>3445082.5</v>
      </c>
      <c r="EL58" s="10">
        <v>6814638.5</v>
      </c>
      <c r="EM58" s="10">
        <v>1733546108518400</v>
      </c>
      <c r="EN58" s="10">
        <v>170228042432512</v>
      </c>
      <c r="EO58" s="10">
        <v>179930256113664</v>
      </c>
      <c r="EP58" s="10">
        <v>51952503226368</v>
      </c>
      <c r="EQ58" s="10">
        <v>11662749859840</v>
      </c>
      <c r="ER58" s="10">
        <v>1612747334746112</v>
      </c>
      <c r="ES58" s="10">
        <v>248306370347008</v>
      </c>
      <c r="ET58" s="10">
        <v>2133395111936</v>
      </c>
      <c r="EU58" s="10">
        <v>2332254273536</v>
      </c>
      <c r="EV58" s="10">
        <v>2026711941120</v>
      </c>
      <c r="EW58" s="10">
        <v>1061466270597120</v>
      </c>
      <c r="EX58" s="10">
        <v>106883650158592</v>
      </c>
      <c r="EY58" s="10">
        <v>236378554368</v>
      </c>
      <c r="EZ58" s="10">
        <v>53056532480</v>
      </c>
      <c r="FA58" s="10">
        <v>475722816</v>
      </c>
      <c r="FB58" s="10">
        <v>1551643237679104</v>
      </c>
      <c r="FC58" s="10">
        <v>405949382656</v>
      </c>
      <c r="FD58" s="10">
        <v>4938605056</v>
      </c>
      <c r="FE58" s="10">
        <v>1695046400</v>
      </c>
      <c r="FF58" s="10">
        <v>316838880</v>
      </c>
      <c r="FG58" s="10">
        <v>182243515432960</v>
      </c>
      <c r="FH58" s="10">
        <v>20006172672</v>
      </c>
      <c r="FI58" s="10">
        <v>633550912</v>
      </c>
      <c r="FJ58" s="10">
        <v>296063040</v>
      </c>
      <c r="FK58" s="10">
        <v>27683880</v>
      </c>
    </row>
    <row r="59" spans="3:167" x14ac:dyDescent="0.2">
      <c r="C59" s="10">
        <f t="shared" si="9"/>
        <v>1</v>
      </c>
      <c r="D59" s="10">
        <f t="shared" si="10"/>
        <v>8</v>
      </c>
      <c r="E59" s="10" cm="1">
        <f t="array" ref="E59">gavg(AF59,EL59)</f>
        <v>3.5423076469561603</v>
      </c>
      <c r="F59" s="10" cm="1">
        <f t="array" ref="F59">lnstdev(AF59,EL59)</f>
        <v>0.53157945462713985</v>
      </c>
      <c r="G59" s="10">
        <f t="shared" si="11"/>
        <v>33</v>
      </c>
      <c r="H59" s="10">
        <f t="shared" si="12"/>
        <v>2</v>
      </c>
      <c r="I59" s="10">
        <f t="shared" si="13"/>
        <v>3</v>
      </c>
      <c r="J59" s="10"/>
      <c r="K59" s="10"/>
      <c r="L59" s="10">
        <f t="shared" si="14"/>
        <v>10</v>
      </c>
      <c r="M59" s="10">
        <f t="shared" si="15"/>
        <v>1</v>
      </c>
      <c r="N59" s="10">
        <f t="shared" si="16"/>
        <v>8</v>
      </c>
      <c r="O59" s="10">
        <f t="shared" si="17"/>
        <v>23</v>
      </c>
      <c r="P59" s="10">
        <f t="shared" si="18"/>
        <v>0</v>
      </c>
      <c r="Q59" s="10">
        <f t="shared" si="19"/>
        <v>0</v>
      </c>
      <c r="R59" s="10">
        <f t="shared" si="20"/>
        <v>0</v>
      </c>
      <c r="S59" s="10">
        <f t="shared" si="21"/>
        <v>0</v>
      </c>
      <c r="T59" s="10">
        <f t="shared" si="22"/>
        <v>0</v>
      </c>
      <c r="U59" s="10">
        <f t="shared" si="23"/>
        <v>0</v>
      </c>
      <c r="V59" s="10">
        <f t="shared" si="0"/>
        <v>0</v>
      </c>
      <c r="W59" s="10">
        <f t="shared" si="1"/>
        <v>0</v>
      </c>
      <c r="X59" s="10">
        <f t="shared" si="2"/>
        <v>0</v>
      </c>
      <c r="Y59" s="10">
        <f t="shared" si="3"/>
        <v>0</v>
      </c>
      <c r="Z59" s="10">
        <f t="shared" si="4"/>
        <v>0</v>
      </c>
      <c r="AA59" s="10">
        <f t="shared" si="5"/>
        <v>0</v>
      </c>
      <c r="AB59" s="10">
        <f t="shared" si="6"/>
        <v>0</v>
      </c>
      <c r="AC59" s="10">
        <f t="shared" si="7"/>
        <v>0</v>
      </c>
      <c r="AD59" s="10">
        <f t="shared" si="8"/>
        <v>0</v>
      </c>
      <c r="AE59" t="s">
        <v>138</v>
      </c>
      <c r="AF59" s="10">
        <v>2</v>
      </c>
      <c r="AG59" s="10">
        <v>2</v>
      </c>
      <c r="AH59" s="10">
        <v>2</v>
      </c>
      <c r="AI59" s="10">
        <v>2</v>
      </c>
      <c r="AJ59" s="10">
        <v>2</v>
      </c>
      <c r="AK59" s="10">
        <v>3</v>
      </c>
      <c r="AL59" s="10">
        <v>3</v>
      </c>
      <c r="AM59" s="10">
        <v>3</v>
      </c>
      <c r="AN59" s="10">
        <v>3</v>
      </c>
      <c r="AO59" s="10">
        <v>3</v>
      </c>
      <c r="AP59" s="10">
        <v>1</v>
      </c>
      <c r="AQ59" s="10">
        <v>2</v>
      </c>
      <c r="AR59" s="10">
        <v>2</v>
      </c>
      <c r="AS59" s="10">
        <v>4</v>
      </c>
      <c r="AT59" s="10">
        <v>4</v>
      </c>
      <c r="AU59" s="10">
        <v>4</v>
      </c>
      <c r="AV59" s="10">
        <v>5</v>
      </c>
      <c r="AW59" s="10">
        <v>5</v>
      </c>
      <c r="AX59" s="10">
        <v>6</v>
      </c>
      <c r="AY59" s="10">
        <v>5</v>
      </c>
      <c r="AZ59" s="10">
        <v>6</v>
      </c>
      <c r="BA59" s="10">
        <v>6</v>
      </c>
      <c r="BB59" s="10">
        <v>6</v>
      </c>
      <c r="BC59" s="10">
        <v>7</v>
      </c>
      <c r="BD59" s="10">
        <v>7</v>
      </c>
      <c r="BE59" s="10">
        <v>7</v>
      </c>
      <c r="BF59" s="10">
        <v>6</v>
      </c>
      <c r="BG59" s="10">
        <v>8</v>
      </c>
      <c r="BH59" s="10">
        <v>7</v>
      </c>
      <c r="BI59" s="10">
        <v>3</v>
      </c>
      <c r="BJ59" s="10">
        <v>2</v>
      </c>
      <c r="BK59" s="10">
        <v>2</v>
      </c>
      <c r="BL59" s="10">
        <v>3</v>
      </c>
      <c r="BM59" s="10" t="s">
        <v>205</v>
      </c>
      <c r="BN59" s="10" t="s">
        <v>205</v>
      </c>
      <c r="BO59" s="10" t="s">
        <v>205</v>
      </c>
      <c r="BP59" s="10" t="s">
        <v>205</v>
      </c>
      <c r="BQ59" s="10" t="s">
        <v>205</v>
      </c>
      <c r="BR59" s="10" t="s">
        <v>205</v>
      </c>
      <c r="BS59" s="10" t="s">
        <v>205</v>
      </c>
      <c r="BT59" s="10" t="s">
        <v>205</v>
      </c>
      <c r="BU59" s="10" t="s">
        <v>205</v>
      </c>
      <c r="BV59" s="10" t="s">
        <v>205</v>
      </c>
      <c r="BW59" s="10" t="s">
        <v>205</v>
      </c>
      <c r="BX59" s="10" t="s">
        <v>205</v>
      </c>
      <c r="BY59" s="10" t="s">
        <v>205</v>
      </c>
      <c r="BZ59" s="10" t="s">
        <v>205</v>
      </c>
      <c r="CA59" s="10" t="s">
        <v>205</v>
      </c>
      <c r="CB59" s="10" t="s">
        <v>205</v>
      </c>
      <c r="CC59" s="10" t="s">
        <v>205</v>
      </c>
      <c r="CD59" s="10" t="s">
        <v>205</v>
      </c>
      <c r="CE59" s="10" t="s">
        <v>205</v>
      </c>
      <c r="CF59" s="10" t="s">
        <v>205</v>
      </c>
      <c r="CG59" s="10" t="s">
        <v>205</v>
      </c>
      <c r="CH59" s="10" t="s">
        <v>205</v>
      </c>
      <c r="CI59" s="10" t="s">
        <v>205</v>
      </c>
      <c r="CJ59" s="10" t="s">
        <v>205</v>
      </c>
      <c r="CK59" s="10" t="s">
        <v>205</v>
      </c>
      <c r="CL59" s="10" t="s">
        <v>205</v>
      </c>
      <c r="CM59" s="10" t="s">
        <v>205</v>
      </c>
      <c r="CN59" s="10" t="s">
        <v>205</v>
      </c>
      <c r="CO59" s="10" t="s">
        <v>205</v>
      </c>
      <c r="CP59" s="10" t="s">
        <v>205</v>
      </c>
      <c r="CQ59" s="10" t="s">
        <v>205</v>
      </c>
      <c r="CR59" s="10" t="s">
        <v>205</v>
      </c>
      <c r="CS59" s="10" t="s">
        <v>205</v>
      </c>
      <c r="CT59" s="10" t="s">
        <v>205</v>
      </c>
      <c r="CU59" s="10" t="s">
        <v>205</v>
      </c>
      <c r="CV59" s="10" t="s">
        <v>205</v>
      </c>
      <c r="CW59" s="10" t="s">
        <v>205</v>
      </c>
      <c r="CX59" s="10" t="s">
        <v>205</v>
      </c>
      <c r="CY59" s="10" t="s">
        <v>205</v>
      </c>
      <c r="CZ59" s="10" t="s">
        <v>205</v>
      </c>
      <c r="DA59" s="10" t="s">
        <v>205</v>
      </c>
      <c r="DB59" s="10" t="s">
        <v>205</v>
      </c>
      <c r="DC59" s="10" t="s">
        <v>205</v>
      </c>
      <c r="DD59" s="10" t="s">
        <v>205</v>
      </c>
      <c r="DE59" s="10" t="s">
        <v>205</v>
      </c>
      <c r="DF59" s="10" t="s">
        <v>205</v>
      </c>
      <c r="DG59" s="10" t="s">
        <v>205</v>
      </c>
      <c r="DH59" s="10" t="s">
        <v>205</v>
      </c>
      <c r="DI59" s="10" t="s">
        <v>205</v>
      </c>
      <c r="DJ59" s="10" t="s">
        <v>205</v>
      </c>
      <c r="DK59" s="10" t="s">
        <v>205</v>
      </c>
      <c r="DL59" s="10" t="s">
        <v>205</v>
      </c>
      <c r="DM59" s="10" t="s">
        <v>205</v>
      </c>
      <c r="DN59" s="10" t="s">
        <v>205</v>
      </c>
      <c r="DO59" s="10" t="s">
        <v>205</v>
      </c>
      <c r="DP59" s="10" t="s">
        <v>205</v>
      </c>
      <c r="DQ59" s="10" t="s">
        <v>205</v>
      </c>
      <c r="DR59" s="10" t="s">
        <v>205</v>
      </c>
      <c r="DS59" s="10" t="s">
        <v>205</v>
      </c>
      <c r="DT59" s="10" t="s">
        <v>205</v>
      </c>
      <c r="DU59" s="9" t="s">
        <v>205</v>
      </c>
      <c r="DV59" s="9" t="s">
        <v>205</v>
      </c>
      <c r="DW59" s="9" t="s">
        <v>205</v>
      </c>
      <c r="DX59" s="9" t="s">
        <v>205</v>
      </c>
      <c r="DY59" s="9" t="s">
        <v>205</v>
      </c>
      <c r="DZ59" s="9" t="s">
        <v>205</v>
      </c>
      <c r="EA59" s="9" t="s">
        <v>205</v>
      </c>
      <c r="EB59" s="9" t="s">
        <v>205</v>
      </c>
      <c r="EC59" s="9" t="s">
        <v>205</v>
      </c>
      <c r="ED59" s="9" t="s">
        <v>205</v>
      </c>
      <c r="EE59" s="9" t="s">
        <v>205</v>
      </c>
      <c r="EF59" s="9" t="s">
        <v>205</v>
      </c>
      <c r="EG59" s="9" t="s">
        <v>205</v>
      </c>
      <c r="EH59" s="9" t="s">
        <v>205</v>
      </c>
      <c r="EI59" s="9" t="s">
        <v>205</v>
      </c>
      <c r="EJ59" s="9" t="s">
        <v>205</v>
      </c>
      <c r="EK59" s="9" t="s">
        <v>205</v>
      </c>
      <c r="EL59" s="9" t="s">
        <v>205</v>
      </c>
      <c r="EM59" s="9" t="s">
        <v>205</v>
      </c>
      <c r="EN59" s="9" t="s">
        <v>205</v>
      </c>
      <c r="EO59" s="9" t="s">
        <v>205</v>
      </c>
      <c r="EP59" s="9" t="s">
        <v>205</v>
      </c>
      <c r="EQ59" s="9" t="s">
        <v>205</v>
      </c>
      <c r="ER59" s="9" t="s">
        <v>205</v>
      </c>
      <c r="ES59" s="9" t="s">
        <v>205</v>
      </c>
      <c r="ET59" s="9" t="s">
        <v>205</v>
      </c>
      <c r="EU59" s="9" t="s">
        <v>205</v>
      </c>
      <c r="EV59" s="9" t="s">
        <v>205</v>
      </c>
      <c r="EW59" s="9" t="s">
        <v>205</v>
      </c>
      <c r="EX59" s="9" t="s">
        <v>205</v>
      </c>
      <c r="EY59" s="9" t="s">
        <v>205</v>
      </c>
      <c r="EZ59" s="9" t="s">
        <v>205</v>
      </c>
      <c r="FA59" s="9" t="s">
        <v>205</v>
      </c>
      <c r="FB59" s="9" t="s">
        <v>205</v>
      </c>
      <c r="FC59" s="9" t="s">
        <v>205</v>
      </c>
      <c r="FD59" s="9" t="s">
        <v>205</v>
      </c>
      <c r="FE59" s="9" t="s">
        <v>205</v>
      </c>
      <c r="FF59" s="9" t="s">
        <v>205</v>
      </c>
      <c r="FG59" s="9" t="s">
        <v>205</v>
      </c>
      <c r="FH59" s="9" t="s">
        <v>205</v>
      </c>
      <c r="FI59" s="9" t="s">
        <v>205</v>
      </c>
      <c r="FJ59" s="9" t="s">
        <v>205</v>
      </c>
      <c r="FK59" s="9" t="s">
        <v>205</v>
      </c>
    </row>
    <row r="60" spans="3:167" x14ac:dyDescent="0.2">
      <c r="C60" s="10">
        <f t="shared" si="9"/>
        <v>2</v>
      </c>
      <c r="D60" s="10">
        <f t="shared" si="10"/>
        <v>10</v>
      </c>
      <c r="E60" s="10" cm="1">
        <f t="array" ref="E60">gavg(AF60,EL60)</f>
        <v>4.9343093678196182</v>
      </c>
      <c r="F60" s="10" cm="1">
        <f t="array" ref="F60">lnstdev(AF60,EL60)</f>
        <v>0.45954503677053182</v>
      </c>
      <c r="G60" s="10">
        <f t="shared" si="11"/>
        <v>33</v>
      </c>
      <c r="H60" s="10">
        <f t="shared" si="12"/>
        <v>2</v>
      </c>
      <c r="I60" s="10">
        <f t="shared" si="13"/>
        <v>4</v>
      </c>
      <c r="J60" s="10"/>
      <c r="K60" s="10"/>
      <c r="L60" s="10">
        <f t="shared" si="14"/>
        <v>10</v>
      </c>
      <c r="M60" s="10">
        <f t="shared" si="15"/>
        <v>3</v>
      </c>
      <c r="N60" s="10">
        <f t="shared" si="16"/>
        <v>10</v>
      </c>
      <c r="O60" s="10">
        <f t="shared" si="17"/>
        <v>23</v>
      </c>
      <c r="P60" s="10">
        <f t="shared" si="18"/>
        <v>0</v>
      </c>
      <c r="Q60" s="10">
        <f t="shared" si="19"/>
        <v>0</v>
      </c>
      <c r="R60" s="10">
        <f t="shared" si="20"/>
        <v>0</v>
      </c>
      <c r="S60" s="10">
        <f t="shared" si="21"/>
        <v>0</v>
      </c>
      <c r="T60" s="10">
        <f t="shared" si="22"/>
        <v>0</v>
      </c>
      <c r="U60" s="10">
        <f t="shared" si="23"/>
        <v>0</v>
      </c>
      <c r="V60" s="10">
        <f t="shared" si="0"/>
        <v>0</v>
      </c>
      <c r="W60" s="10">
        <f t="shared" si="1"/>
        <v>0</v>
      </c>
      <c r="X60" s="10">
        <f t="shared" si="2"/>
        <v>0</v>
      </c>
      <c r="Y60" s="10">
        <f t="shared" si="3"/>
        <v>0</v>
      </c>
      <c r="Z60" s="10">
        <f t="shared" si="4"/>
        <v>0</v>
      </c>
      <c r="AA60" s="10">
        <f t="shared" si="5"/>
        <v>0</v>
      </c>
      <c r="AB60" s="10">
        <f t="shared" si="6"/>
        <v>0</v>
      </c>
      <c r="AC60" s="10">
        <f t="shared" si="7"/>
        <v>0</v>
      </c>
      <c r="AD60" s="10">
        <f t="shared" si="8"/>
        <v>0</v>
      </c>
      <c r="AE60" t="s">
        <v>139</v>
      </c>
      <c r="AF60" s="10">
        <v>2</v>
      </c>
      <c r="AG60" s="10">
        <v>3</v>
      </c>
      <c r="AH60" s="10">
        <v>3</v>
      </c>
      <c r="AI60" s="10">
        <v>3</v>
      </c>
      <c r="AJ60" s="10">
        <v>3</v>
      </c>
      <c r="AK60" s="10">
        <v>3</v>
      </c>
      <c r="AL60" s="10">
        <v>3</v>
      </c>
      <c r="AM60" s="10">
        <v>3</v>
      </c>
      <c r="AN60" s="10">
        <v>3</v>
      </c>
      <c r="AO60" s="10">
        <v>4</v>
      </c>
      <c r="AP60" s="10">
        <v>4</v>
      </c>
      <c r="AQ60" s="10">
        <v>4</v>
      </c>
      <c r="AR60" s="10">
        <v>5</v>
      </c>
      <c r="AS60" s="10">
        <v>4</v>
      </c>
      <c r="AT60" s="10">
        <v>5</v>
      </c>
      <c r="AU60" s="10">
        <v>6</v>
      </c>
      <c r="AV60" s="10">
        <v>6</v>
      </c>
      <c r="AW60" s="10">
        <v>7</v>
      </c>
      <c r="AX60" s="10">
        <v>7</v>
      </c>
      <c r="AY60" s="10">
        <v>7</v>
      </c>
      <c r="AZ60" s="10">
        <v>8</v>
      </c>
      <c r="BA60" s="10">
        <v>8</v>
      </c>
      <c r="BB60" s="10">
        <v>8</v>
      </c>
      <c r="BC60" s="10">
        <v>9</v>
      </c>
      <c r="BD60" s="10">
        <v>9</v>
      </c>
      <c r="BE60" s="10">
        <v>9</v>
      </c>
      <c r="BF60" s="10">
        <v>9</v>
      </c>
      <c r="BG60" s="10">
        <v>10</v>
      </c>
      <c r="BH60" s="10">
        <v>9</v>
      </c>
      <c r="BI60" s="10">
        <v>4</v>
      </c>
      <c r="BJ60" s="10">
        <v>3</v>
      </c>
      <c r="BK60" s="10">
        <v>4</v>
      </c>
      <c r="BL60" s="10">
        <v>5</v>
      </c>
      <c r="BM60" s="10" t="s">
        <v>205</v>
      </c>
      <c r="BN60" s="10" t="s">
        <v>205</v>
      </c>
      <c r="BO60" s="10" t="s">
        <v>205</v>
      </c>
      <c r="BP60" s="10" t="s">
        <v>205</v>
      </c>
      <c r="BQ60" s="10" t="s">
        <v>205</v>
      </c>
      <c r="BR60" s="10" t="s">
        <v>205</v>
      </c>
      <c r="BS60" s="10" t="s">
        <v>205</v>
      </c>
      <c r="BT60" s="10" t="s">
        <v>205</v>
      </c>
      <c r="BU60" s="10" t="s">
        <v>205</v>
      </c>
      <c r="BV60" s="10" t="s">
        <v>205</v>
      </c>
      <c r="BW60" s="10" t="s">
        <v>205</v>
      </c>
      <c r="BX60" s="10" t="s">
        <v>205</v>
      </c>
      <c r="BY60" s="10" t="s">
        <v>205</v>
      </c>
      <c r="BZ60" s="10" t="s">
        <v>205</v>
      </c>
      <c r="CA60" s="10" t="s">
        <v>205</v>
      </c>
      <c r="CB60" s="10" t="s">
        <v>205</v>
      </c>
      <c r="CC60" s="10" t="s">
        <v>205</v>
      </c>
      <c r="CD60" s="10" t="s">
        <v>205</v>
      </c>
      <c r="CE60" s="10" t="s">
        <v>205</v>
      </c>
      <c r="CF60" s="10" t="s">
        <v>205</v>
      </c>
      <c r="CG60" s="10" t="s">
        <v>205</v>
      </c>
      <c r="CH60" s="10" t="s">
        <v>205</v>
      </c>
      <c r="CI60" s="10" t="s">
        <v>205</v>
      </c>
      <c r="CJ60" s="10" t="s">
        <v>205</v>
      </c>
      <c r="CK60" s="10" t="s">
        <v>205</v>
      </c>
      <c r="CL60" s="10" t="s">
        <v>205</v>
      </c>
      <c r="CM60" s="10" t="s">
        <v>205</v>
      </c>
      <c r="CN60" s="10" t="s">
        <v>205</v>
      </c>
      <c r="CO60" s="10" t="s">
        <v>205</v>
      </c>
      <c r="CP60" s="10" t="s">
        <v>205</v>
      </c>
      <c r="CQ60" s="10" t="s">
        <v>205</v>
      </c>
      <c r="CR60" s="10" t="s">
        <v>205</v>
      </c>
      <c r="CS60" s="10" t="s">
        <v>205</v>
      </c>
      <c r="CT60" s="10" t="s">
        <v>205</v>
      </c>
      <c r="CU60" s="10" t="s">
        <v>205</v>
      </c>
      <c r="CV60" s="10" t="s">
        <v>205</v>
      </c>
      <c r="CW60" s="10" t="s">
        <v>205</v>
      </c>
      <c r="CX60" s="10" t="s">
        <v>205</v>
      </c>
      <c r="CY60" s="10" t="s">
        <v>205</v>
      </c>
      <c r="CZ60" s="10" t="s">
        <v>205</v>
      </c>
      <c r="DA60" s="10" t="s">
        <v>205</v>
      </c>
      <c r="DB60" s="10" t="s">
        <v>205</v>
      </c>
      <c r="DC60" s="10" t="s">
        <v>205</v>
      </c>
      <c r="DD60" s="10" t="s">
        <v>205</v>
      </c>
      <c r="DE60" s="10" t="s">
        <v>205</v>
      </c>
      <c r="DF60" s="10" t="s">
        <v>205</v>
      </c>
      <c r="DG60" s="10" t="s">
        <v>205</v>
      </c>
      <c r="DH60" s="10" t="s">
        <v>205</v>
      </c>
      <c r="DI60" s="10" t="s">
        <v>205</v>
      </c>
      <c r="DJ60" s="10" t="s">
        <v>205</v>
      </c>
      <c r="DK60" s="10" t="s">
        <v>205</v>
      </c>
      <c r="DL60" s="10" t="s">
        <v>205</v>
      </c>
      <c r="DM60" s="10" t="s">
        <v>205</v>
      </c>
      <c r="DN60" s="10" t="s">
        <v>205</v>
      </c>
      <c r="DO60" s="10" t="s">
        <v>205</v>
      </c>
      <c r="DP60" s="10" t="s">
        <v>205</v>
      </c>
      <c r="DQ60" s="10" t="s">
        <v>205</v>
      </c>
      <c r="DR60" s="10" t="s">
        <v>205</v>
      </c>
      <c r="DS60" s="10" t="s">
        <v>205</v>
      </c>
      <c r="DT60" s="10" t="s">
        <v>205</v>
      </c>
      <c r="DU60" s="9" t="s">
        <v>205</v>
      </c>
      <c r="DV60" s="9" t="s">
        <v>205</v>
      </c>
      <c r="DW60" s="9" t="s">
        <v>205</v>
      </c>
      <c r="DX60" s="9" t="s">
        <v>205</v>
      </c>
      <c r="DY60" s="9" t="s">
        <v>205</v>
      </c>
      <c r="DZ60" s="9" t="s">
        <v>205</v>
      </c>
      <c r="EA60" s="9" t="s">
        <v>205</v>
      </c>
      <c r="EB60" s="9" t="s">
        <v>205</v>
      </c>
      <c r="EC60" s="9" t="s">
        <v>205</v>
      </c>
      <c r="ED60" s="9" t="s">
        <v>205</v>
      </c>
      <c r="EE60" s="9" t="s">
        <v>205</v>
      </c>
      <c r="EF60" s="9" t="s">
        <v>205</v>
      </c>
      <c r="EG60" s="9" t="s">
        <v>205</v>
      </c>
      <c r="EH60" s="9" t="s">
        <v>205</v>
      </c>
      <c r="EI60" s="9" t="s">
        <v>205</v>
      </c>
      <c r="EJ60" s="9" t="s">
        <v>205</v>
      </c>
      <c r="EK60" s="9" t="s">
        <v>205</v>
      </c>
      <c r="EL60" s="9" t="s">
        <v>205</v>
      </c>
      <c r="EM60" s="9" t="s">
        <v>205</v>
      </c>
      <c r="EN60" s="9" t="s">
        <v>205</v>
      </c>
      <c r="EO60" s="9" t="s">
        <v>205</v>
      </c>
      <c r="EP60" s="9" t="s">
        <v>205</v>
      </c>
      <c r="EQ60" s="9" t="s">
        <v>205</v>
      </c>
      <c r="ER60" s="9" t="s">
        <v>205</v>
      </c>
      <c r="ES60" s="9" t="s">
        <v>205</v>
      </c>
      <c r="ET60" s="9" t="s">
        <v>205</v>
      </c>
      <c r="EU60" s="9" t="s">
        <v>205</v>
      </c>
      <c r="EV60" s="9" t="s">
        <v>205</v>
      </c>
      <c r="EW60" s="9" t="s">
        <v>205</v>
      </c>
      <c r="EX60" s="9" t="s">
        <v>205</v>
      </c>
      <c r="EY60" s="9" t="s">
        <v>205</v>
      </c>
      <c r="EZ60" s="9" t="s">
        <v>205</v>
      </c>
      <c r="FA60" s="9" t="s">
        <v>205</v>
      </c>
      <c r="FB60" s="9" t="s">
        <v>205</v>
      </c>
      <c r="FC60" s="9" t="s">
        <v>205</v>
      </c>
      <c r="FD60" s="9" t="s">
        <v>205</v>
      </c>
      <c r="FE60" s="9" t="s">
        <v>205</v>
      </c>
      <c r="FF60" s="9" t="s">
        <v>205</v>
      </c>
      <c r="FG60" s="9" t="s">
        <v>205</v>
      </c>
      <c r="FH60" s="9" t="s">
        <v>205</v>
      </c>
      <c r="FI60" s="9" t="s">
        <v>205</v>
      </c>
      <c r="FJ60" s="9" t="s">
        <v>205</v>
      </c>
      <c r="FK60" s="9" t="s">
        <v>205</v>
      </c>
    </row>
    <row r="61" spans="3:167" x14ac:dyDescent="0.2">
      <c r="C61" s="10">
        <f t="shared" si="9"/>
        <v>780</v>
      </c>
      <c r="D61" s="10">
        <f t="shared" si="10"/>
        <v>21000</v>
      </c>
      <c r="E61" s="10" cm="1">
        <f t="array" ref="E61">gavg(AF61,EL61)</f>
        <v>5191.3480073825549</v>
      </c>
      <c r="F61" s="10" cm="1">
        <f t="array" ref="F61">lnstdev(AF61,EL61)</f>
        <v>1.5095236811767596</v>
      </c>
      <c r="G61" s="10">
        <f t="shared" si="11"/>
        <v>111</v>
      </c>
      <c r="H61" s="10">
        <f t="shared" si="12"/>
        <v>20350</v>
      </c>
      <c r="I61" s="10">
        <f t="shared" si="13"/>
        <v>20350</v>
      </c>
      <c r="J61" s="10"/>
      <c r="K61" s="10"/>
      <c r="L61" s="10">
        <f t="shared" si="14"/>
        <v>10</v>
      </c>
      <c r="M61" s="10">
        <f t="shared" si="15"/>
        <v>1593</v>
      </c>
      <c r="N61" s="10">
        <f t="shared" si="16"/>
        <v>1593</v>
      </c>
      <c r="O61" s="10">
        <f t="shared" si="17"/>
        <v>23</v>
      </c>
      <c r="P61" s="10">
        <f t="shared" si="18"/>
        <v>780</v>
      </c>
      <c r="Q61" s="10">
        <f t="shared" si="19"/>
        <v>780</v>
      </c>
      <c r="R61" s="10">
        <f t="shared" si="20"/>
        <v>29</v>
      </c>
      <c r="S61" s="10">
        <f t="shared" si="21"/>
        <v>21000</v>
      </c>
      <c r="T61" s="10">
        <f t="shared" si="22"/>
        <v>21000</v>
      </c>
      <c r="U61" s="10">
        <f t="shared" si="23"/>
        <v>31</v>
      </c>
      <c r="V61" s="10">
        <f t="shared" si="0"/>
        <v>21000</v>
      </c>
      <c r="W61" s="10">
        <f t="shared" si="1"/>
        <v>21000</v>
      </c>
      <c r="X61" s="10">
        <f t="shared" si="2"/>
        <v>18</v>
      </c>
      <c r="Y61" s="10">
        <f t="shared" si="3"/>
        <v>21000</v>
      </c>
      <c r="Z61" s="10">
        <f t="shared" si="4"/>
        <v>21000</v>
      </c>
      <c r="AA61" s="10">
        <f t="shared" si="5"/>
        <v>4</v>
      </c>
      <c r="AB61" s="10">
        <f t="shared" si="6"/>
        <v>21000</v>
      </c>
      <c r="AC61" s="10">
        <f t="shared" si="7"/>
        <v>21000</v>
      </c>
      <c r="AD61" s="10">
        <f t="shared" si="8"/>
        <v>14</v>
      </c>
      <c r="AE61" s="5" t="s">
        <v>231</v>
      </c>
      <c r="AF61" s="10">
        <v>20350</v>
      </c>
      <c r="AG61" s="10">
        <v>20350</v>
      </c>
      <c r="AH61" s="10">
        <v>20350</v>
      </c>
      <c r="AI61" s="10">
        <v>20350</v>
      </c>
      <c r="AJ61" s="10">
        <v>20350</v>
      </c>
      <c r="AK61" s="10">
        <v>20350</v>
      </c>
      <c r="AL61" s="10">
        <v>20350</v>
      </c>
      <c r="AM61" s="10">
        <v>20350</v>
      </c>
      <c r="AN61" s="10">
        <v>20350</v>
      </c>
      <c r="AO61" s="10">
        <v>20350</v>
      </c>
      <c r="AP61" s="10">
        <v>1593</v>
      </c>
      <c r="AQ61" s="10">
        <v>1593</v>
      </c>
      <c r="AR61" s="10">
        <v>1593</v>
      </c>
      <c r="AS61" s="10">
        <v>1593</v>
      </c>
      <c r="AT61" s="10">
        <v>1593</v>
      </c>
      <c r="AU61" s="10">
        <v>1593</v>
      </c>
      <c r="AV61" s="10">
        <v>1593</v>
      </c>
      <c r="AW61" s="10">
        <v>1593</v>
      </c>
      <c r="AX61" s="10">
        <v>1593</v>
      </c>
      <c r="AY61" s="10">
        <v>1593</v>
      </c>
      <c r="AZ61" s="10">
        <v>1593</v>
      </c>
      <c r="BA61" s="10">
        <v>1593</v>
      </c>
      <c r="BB61" s="10">
        <v>1593</v>
      </c>
      <c r="BC61" s="10">
        <v>1593</v>
      </c>
      <c r="BD61" s="10">
        <v>1593</v>
      </c>
      <c r="BE61" s="10">
        <v>1593</v>
      </c>
      <c r="BF61" s="10">
        <v>1593</v>
      </c>
      <c r="BG61" s="10">
        <v>1593</v>
      </c>
      <c r="BH61" s="10">
        <v>1593</v>
      </c>
      <c r="BI61" s="10">
        <v>1593</v>
      </c>
      <c r="BJ61" s="10">
        <v>1593</v>
      </c>
      <c r="BK61" s="10">
        <v>1593</v>
      </c>
      <c r="BL61" s="10">
        <v>1593</v>
      </c>
      <c r="BM61" s="10">
        <v>780</v>
      </c>
      <c r="BN61" s="10">
        <v>780</v>
      </c>
      <c r="BO61" s="10">
        <v>780</v>
      </c>
      <c r="BP61" s="10">
        <v>780</v>
      </c>
      <c r="BQ61" s="10">
        <v>780</v>
      </c>
      <c r="BR61" s="10">
        <v>780</v>
      </c>
      <c r="BS61" s="10">
        <v>780</v>
      </c>
      <c r="BT61" s="10">
        <v>780</v>
      </c>
      <c r="BU61" s="10">
        <v>780</v>
      </c>
      <c r="BV61" s="10">
        <v>780</v>
      </c>
      <c r="BW61" s="10">
        <v>780</v>
      </c>
      <c r="BX61" s="10">
        <v>780</v>
      </c>
      <c r="BY61" s="10">
        <v>780</v>
      </c>
      <c r="BZ61" s="10">
        <v>780</v>
      </c>
      <c r="CA61" s="10">
        <v>780</v>
      </c>
      <c r="CB61" s="10">
        <v>780</v>
      </c>
      <c r="CC61" s="10">
        <v>780</v>
      </c>
      <c r="CD61" s="10">
        <v>780</v>
      </c>
      <c r="CE61" s="10">
        <v>780</v>
      </c>
      <c r="CF61" s="10">
        <v>780</v>
      </c>
      <c r="CG61" s="10">
        <v>780</v>
      </c>
      <c r="CH61" s="10">
        <v>780</v>
      </c>
      <c r="CI61" s="10">
        <v>780</v>
      </c>
      <c r="CJ61" s="10">
        <v>780</v>
      </c>
      <c r="CK61" s="10">
        <v>780</v>
      </c>
      <c r="CL61" s="10">
        <v>780</v>
      </c>
      <c r="CM61" s="10">
        <v>780</v>
      </c>
      <c r="CN61" s="10">
        <v>780</v>
      </c>
      <c r="CO61" s="10">
        <v>780</v>
      </c>
      <c r="CP61" s="10">
        <v>21000</v>
      </c>
      <c r="CQ61" s="10">
        <v>21000</v>
      </c>
      <c r="CR61" s="10">
        <v>21000</v>
      </c>
      <c r="CS61" s="10">
        <v>21000</v>
      </c>
      <c r="CT61" s="10">
        <v>21000</v>
      </c>
      <c r="CU61" s="10">
        <v>21000</v>
      </c>
      <c r="CV61" s="10">
        <v>21000</v>
      </c>
      <c r="CW61" s="10">
        <v>21000</v>
      </c>
      <c r="CX61" s="10">
        <v>21000</v>
      </c>
      <c r="CY61" s="10">
        <v>21000</v>
      </c>
      <c r="CZ61" s="10">
        <v>21000</v>
      </c>
      <c r="DA61" s="10">
        <v>21000</v>
      </c>
      <c r="DB61" s="10">
        <v>21000</v>
      </c>
      <c r="DC61" s="10">
        <v>21000</v>
      </c>
      <c r="DD61" s="10">
        <v>21000</v>
      </c>
      <c r="DE61" s="10">
        <v>21000</v>
      </c>
      <c r="DF61" s="10">
        <v>21000</v>
      </c>
      <c r="DG61" s="10">
        <v>21000</v>
      </c>
      <c r="DH61" s="10">
        <v>21000</v>
      </c>
      <c r="DI61" s="10">
        <v>21000</v>
      </c>
      <c r="DJ61" s="10">
        <v>21000</v>
      </c>
      <c r="DK61" s="10">
        <v>21000</v>
      </c>
      <c r="DL61" s="10">
        <v>21000</v>
      </c>
      <c r="DM61" s="10">
        <v>21000</v>
      </c>
      <c r="DN61" s="10">
        <v>21000</v>
      </c>
      <c r="DO61" s="10">
        <v>21000</v>
      </c>
      <c r="DP61" s="10">
        <v>21000</v>
      </c>
      <c r="DQ61" s="10">
        <v>21000</v>
      </c>
      <c r="DR61" s="10">
        <v>21000</v>
      </c>
      <c r="DS61" s="10">
        <v>21000</v>
      </c>
      <c r="DT61" s="10">
        <v>21000</v>
      </c>
      <c r="DU61" s="9">
        <v>21000</v>
      </c>
      <c r="DV61" s="9">
        <v>21000</v>
      </c>
      <c r="DW61" s="9">
        <v>21000</v>
      </c>
      <c r="DX61" s="9">
        <v>21000</v>
      </c>
      <c r="DY61" s="9">
        <v>21000</v>
      </c>
      <c r="DZ61" s="9">
        <v>21000</v>
      </c>
      <c r="EA61" s="9">
        <v>21000</v>
      </c>
      <c r="EB61" s="9">
        <v>21000</v>
      </c>
      <c r="EC61" s="9">
        <v>21000</v>
      </c>
      <c r="ED61" s="9">
        <v>21000</v>
      </c>
      <c r="EE61" s="9">
        <v>21000</v>
      </c>
      <c r="EF61" s="9">
        <v>21000</v>
      </c>
      <c r="EG61" s="9">
        <v>21000</v>
      </c>
      <c r="EH61" s="9">
        <v>21000</v>
      </c>
      <c r="EI61" s="9">
        <v>21000</v>
      </c>
      <c r="EJ61" s="9">
        <v>21000</v>
      </c>
      <c r="EK61" s="9">
        <v>21000</v>
      </c>
      <c r="EL61" s="9">
        <v>21000</v>
      </c>
      <c r="EM61" s="9">
        <v>21000</v>
      </c>
      <c r="EN61" s="9">
        <v>21000</v>
      </c>
      <c r="EO61" s="9">
        <v>21000</v>
      </c>
      <c r="EP61" s="9">
        <v>21000</v>
      </c>
      <c r="EQ61" s="9">
        <v>21000</v>
      </c>
      <c r="ER61" s="9">
        <v>21000</v>
      </c>
      <c r="ES61" s="9">
        <v>21000</v>
      </c>
      <c r="ET61" s="9">
        <v>21000</v>
      </c>
      <c r="EU61" s="9">
        <v>21000</v>
      </c>
      <c r="EV61" s="9">
        <v>21000</v>
      </c>
      <c r="EW61" s="9">
        <v>21000</v>
      </c>
      <c r="EX61" s="9">
        <v>21000</v>
      </c>
      <c r="EY61" s="9">
        <v>21000</v>
      </c>
      <c r="EZ61" s="9">
        <v>21000</v>
      </c>
      <c r="FA61" s="9">
        <v>21000</v>
      </c>
      <c r="FB61" s="9">
        <v>21000</v>
      </c>
      <c r="FC61" s="9">
        <v>21000</v>
      </c>
      <c r="FD61" s="9">
        <v>21000</v>
      </c>
      <c r="FE61" s="9">
        <v>21000</v>
      </c>
      <c r="FF61" s="9">
        <v>21000</v>
      </c>
      <c r="FG61" s="9">
        <v>21000</v>
      </c>
      <c r="FH61" s="9">
        <v>21000</v>
      </c>
      <c r="FI61" s="9">
        <v>21000</v>
      </c>
      <c r="FJ61" s="9">
        <v>21000</v>
      </c>
      <c r="FK61" s="9">
        <v>21000</v>
      </c>
    </row>
    <row r="62" spans="3:167" x14ac:dyDescent="0.2">
      <c r="C62" s="10">
        <f t="shared" si="9"/>
        <v>1</v>
      </c>
      <c r="D62" s="10">
        <f t="shared" si="10"/>
        <v>425</v>
      </c>
      <c r="E62" s="10" cm="1">
        <f t="array" ref="E62">gavg(AF62,EL62)</f>
        <v>3.6073189139926827</v>
      </c>
      <c r="F62" s="10" cm="1">
        <f t="array" ref="F62">lnstdev(AF62,EL62)</f>
        <v>2.2546325740776374</v>
      </c>
      <c r="G62" s="10">
        <f t="shared" si="11"/>
        <v>78</v>
      </c>
      <c r="H62" s="10">
        <f t="shared" si="12"/>
        <v>0</v>
      </c>
      <c r="I62" s="10">
        <f t="shared" si="13"/>
        <v>0</v>
      </c>
      <c r="J62" s="10"/>
      <c r="K62" s="10"/>
      <c r="L62" s="10">
        <f t="shared" si="14"/>
        <v>0</v>
      </c>
      <c r="M62" s="10">
        <f t="shared" si="15"/>
        <v>0</v>
      </c>
      <c r="N62" s="10">
        <f t="shared" si="16"/>
        <v>0</v>
      </c>
      <c r="O62" s="10">
        <f t="shared" si="17"/>
        <v>0</v>
      </c>
      <c r="P62" s="10">
        <f t="shared" si="18"/>
        <v>1</v>
      </c>
      <c r="Q62" s="10">
        <f t="shared" si="19"/>
        <v>1</v>
      </c>
      <c r="R62" s="10">
        <f t="shared" si="20"/>
        <v>29</v>
      </c>
      <c r="S62" s="10">
        <f t="shared" si="21"/>
        <v>1.5</v>
      </c>
      <c r="T62" s="10">
        <f t="shared" si="22"/>
        <v>1.5</v>
      </c>
      <c r="U62" s="10">
        <f t="shared" si="23"/>
        <v>31</v>
      </c>
      <c r="V62" s="10">
        <f t="shared" si="0"/>
        <v>2</v>
      </c>
      <c r="W62" s="10">
        <f t="shared" si="1"/>
        <v>425</v>
      </c>
      <c r="X62" s="10">
        <f t="shared" si="2"/>
        <v>18</v>
      </c>
      <c r="Y62" s="10">
        <f t="shared" si="3"/>
        <v>2</v>
      </c>
      <c r="Z62" s="10">
        <f t="shared" si="4"/>
        <v>2</v>
      </c>
      <c r="AA62" s="10">
        <f t="shared" si="5"/>
        <v>4</v>
      </c>
      <c r="AB62" s="10">
        <f t="shared" si="6"/>
        <v>425</v>
      </c>
      <c r="AC62" s="10">
        <f t="shared" si="7"/>
        <v>425</v>
      </c>
      <c r="AD62" s="10">
        <f t="shared" si="8"/>
        <v>14</v>
      </c>
      <c r="AE62" s="5" t="s">
        <v>233</v>
      </c>
      <c r="AF62" s="9" t="s">
        <v>205</v>
      </c>
      <c r="AG62" s="9" t="s">
        <v>205</v>
      </c>
      <c r="AH62" s="9" t="s">
        <v>205</v>
      </c>
      <c r="AI62" s="9" t="s">
        <v>205</v>
      </c>
      <c r="AJ62" s="9" t="s">
        <v>205</v>
      </c>
      <c r="AK62" s="9" t="s">
        <v>205</v>
      </c>
      <c r="AL62" s="9" t="s">
        <v>205</v>
      </c>
      <c r="AM62" s="9" t="s">
        <v>205</v>
      </c>
      <c r="AN62" s="9" t="s">
        <v>205</v>
      </c>
      <c r="AO62" s="9" t="s">
        <v>205</v>
      </c>
      <c r="AP62" s="9" t="s">
        <v>205</v>
      </c>
      <c r="AQ62" s="9" t="s">
        <v>205</v>
      </c>
      <c r="AR62" s="9" t="s">
        <v>205</v>
      </c>
      <c r="AS62" s="9" t="s">
        <v>205</v>
      </c>
      <c r="AT62" s="9" t="s">
        <v>205</v>
      </c>
      <c r="AU62" s="9" t="s">
        <v>205</v>
      </c>
      <c r="AV62" s="9" t="s">
        <v>205</v>
      </c>
      <c r="AW62" s="9" t="s">
        <v>205</v>
      </c>
      <c r="AX62" s="9" t="s">
        <v>205</v>
      </c>
      <c r="AY62" s="9" t="s">
        <v>205</v>
      </c>
      <c r="AZ62" s="9" t="s">
        <v>205</v>
      </c>
      <c r="BA62" s="9" t="s">
        <v>205</v>
      </c>
      <c r="BB62" s="9" t="s">
        <v>205</v>
      </c>
      <c r="BC62" s="9" t="s">
        <v>205</v>
      </c>
      <c r="BD62" s="9" t="s">
        <v>205</v>
      </c>
      <c r="BE62" s="9" t="s">
        <v>205</v>
      </c>
      <c r="BF62" s="9" t="s">
        <v>205</v>
      </c>
      <c r="BG62" s="9" t="s">
        <v>205</v>
      </c>
      <c r="BH62" s="9" t="s">
        <v>205</v>
      </c>
      <c r="BI62" s="9" t="s">
        <v>205</v>
      </c>
      <c r="BJ62" s="9" t="s">
        <v>205</v>
      </c>
      <c r="BK62" s="9" t="s">
        <v>205</v>
      </c>
      <c r="BL62" s="9" t="s">
        <v>205</v>
      </c>
      <c r="BM62" s="9">
        <v>1</v>
      </c>
      <c r="BN62" s="9">
        <v>1</v>
      </c>
      <c r="BO62" s="9">
        <v>1</v>
      </c>
      <c r="BP62" s="9">
        <v>1</v>
      </c>
      <c r="BQ62" s="9">
        <v>1</v>
      </c>
      <c r="BR62" s="9">
        <v>1</v>
      </c>
      <c r="BS62" s="9">
        <v>1</v>
      </c>
      <c r="BT62" s="9">
        <v>1</v>
      </c>
      <c r="BU62" s="9">
        <v>1</v>
      </c>
      <c r="BV62" s="9">
        <v>1</v>
      </c>
      <c r="BW62" s="9">
        <v>1</v>
      </c>
      <c r="BX62" s="9">
        <v>1</v>
      </c>
      <c r="BY62" s="9">
        <v>1</v>
      </c>
      <c r="BZ62" s="9">
        <v>1</v>
      </c>
      <c r="CA62" s="9">
        <v>1</v>
      </c>
      <c r="CB62" s="9">
        <v>1</v>
      </c>
      <c r="CC62" s="9">
        <v>1</v>
      </c>
      <c r="CD62" s="9">
        <v>1</v>
      </c>
      <c r="CE62" s="9">
        <v>1</v>
      </c>
      <c r="CF62" s="9">
        <v>1</v>
      </c>
      <c r="CG62" s="9">
        <v>1</v>
      </c>
      <c r="CH62" s="9">
        <v>1</v>
      </c>
      <c r="CI62" s="9">
        <v>1</v>
      </c>
      <c r="CJ62" s="9">
        <v>1</v>
      </c>
      <c r="CK62" s="9">
        <v>1</v>
      </c>
      <c r="CL62" s="9">
        <v>1</v>
      </c>
      <c r="CM62" s="9">
        <v>1</v>
      </c>
      <c r="CN62" s="9">
        <v>1</v>
      </c>
      <c r="CO62" s="9">
        <v>1</v>
      </c>
      <c r="CP62" s="9">
        <v>1.5</v>
      </c>
      <c r="CQ62" s="9">
        <v>1.5</v>
      </c>
      <c r="CR62" s="9">
        <v>1.5</v>
      </c>
      <c r="CS62" s="9">
        <v>1.5</v>
      </c>
      <c r="CT62" s="9">
        <v>1.5</v>
      </c>
      <c r="CU62" s="9">
        <v>1.5</v>
      </c>
      <c r="CV62" s="9">
        <v>1.5</v>
      </c>
      <c r="CW62" s="9">
        <v>1.5</v>
      </c>
      <c r="CX62" s="9">
        <v>1.5</v>
      </c>
      <c r="CY62" s="9">
        <v>1.5</v>
      </c>
      <c r="CZ62" s="9">
        <v>1.5</v>
      </c>
      <c r="DA62" s="9">
        <v>1.5</v>
      </c>
      <c r="DB62" s="9">
        <v>1.5</v>
      </c>
      <c r="DC62" s="9">
        <v>1.5</v>
      </c>
      <c r="DD62" s="9">
        <v>1.5</v>
      </c>
      <c r="DE62" s="9">
        <v>1.5</v>
      </c>
      <c r="DF62" s="9">
        <v>1.5</v>
      </c>
      <c r="DG62" s="9">
        <v>1.5</v>
      </c>
      <c r="DH62" s="9">
        <v>1.5</v>
      </c>
      <c r="DI62" s="9">
        <v>1.5</v>
      </c>
      <c r="DJ62" s="9">
        <v>1.5</v>
      </c>
      <c r="DK62" s="9">
        <v>1.5</v>
      </c>
      <c r="DL62" s="9">
        <v>1.5</v>
      </c>
      <c r="DM62" s="9">
        <v>1.5</v>
      </c>
      <c r="DN62" s="9">
        <v>1.5</v>
      </c>
      <c r="DO62" s="9">
        <v>1.5</v>
      </c>
      <c r="DP62" s="9">
        <v>1.5</v>
      </c>
      <c r="DQ62" s="9">
        <v>1.5</v>
      </c>
      <c r="DR62" s="9">
        <v>1.5</v>
      </c>
      <c r="DS62" s="9">
        <v>1.5</v>
      </c>
      <c r="DT62" s="9">
        <v>1.5</v>
      </c>
      <c r="DU62" s="9">
        <v>2</v>
      </c>
      <c r="DV62" s="9">
        <v>2</v>
      </c>
      <c r="DW62" s="9">
        <v>2</v>
      </c>
      <c r="DX62" s="9">
        <v>2</v>
      </c>
      <c r="DY62" s="9">
        <v>425</v>
      </c>
      <c r="DZ62" s="9">
        <v>425</v>
      </c>
      <c r="EA62" s="9">
        <v>425</v>
      </c>
      <c r="EB62" s="9">
        <v>425</v>
      </c>
      <c r="EC62" s="9">
        <v>425</v>
      </c>
      <c r="ED62" s="9">
        <v>425</v>
      </c>
      <c r="EE62" s="9">
        <v>425</v>
      </c>
      <c r="EF62" s="9">
        <v>425</v>
      </c>
      <c r="EG62" s="9">
        <v>425</v>
      </c>
      <c r="EH62" s="9">
        <v>425</v>
      </c>
      <c r="EI62" s="9">
        <v>425</v>
      </c>
      <c r="EJ62" s="9">
        <v>425</v>
      </c>
      <c r="EK62" s="9">
        <v>425</v>
      </c>
      <c r="EL62" s="9">
        <v>425</v>
      </c>
      <c r="EM62" s="9">
        <v>2</v>
      </c>
      <c r="EN62" s="9">
        <v>2</v>
      </c>
      <c r="EO62" s="9">
        <v>2</v>
      </c>
      <c r="EP62" s="9">
        <v>2</v>
      </c>
      <c r="EQ62" s="9">
        <v>2</v>
      </c>
      <c r="ER62" s="9">
        <v>2</v>
      </c>
      <c r="ES62" s="9">
        <v>2</v>
      </c>
      <c r="ET62" s="9">
        <v>2</v>
      </c>
      <c r="EU62" s="9">
        <v>2</v>
      </c>
      <c r="EV62" s="9">
        <v>2</v>
      </c>
      <c r="EW62" s="9">
        <v>2</v>
      </c>
      <c r="EX62" s="9">
        <v>2</v>
      </c>
      <c r="EY62" s="9">
        <v>2</v>
      </c>
      <c r="EZ62" s="9">
        <v>2</v>
      </c>
      <c r="FA62" s="9">
        <v>2</v>
      </c>
      <c r="FB62" s="9">
        <v>2</v>
      </c>
      <c r="FC62" s="9">
        <v>2</v>
      </c>
      <c r="FD62" s="9">
        <v>2</v>
      </c>
      <c r="FE62" s="9">
        <v>2</v>
      </c>
      <c r="FF62" s="9">
        <v>2</v>
      </c>
      <c r="FG62" s="9">
        <v>2</v>
      </c>
      <c r="FH62" s="9">
        <v>2</v>
      </c>
      <c r="FI62" s="9">
        <v>2</v>
      </c>
      <c r="FJ62" s="9">
        <v>2</v>
      </c>
      <c r="FK62" s="9">
        <v>2</v>
      </c>
    </row>
    <row r="63" spans="3:167" x14ac:dyDescent="0.2">
      <c r="C63" s="10">
        <f t="shared" si="9"/>
        <v>1.5</v>
      </c>
      <c r="D63" s="10">
        <f t="shared" si="10"/>
        <v>1.5</v>
      </c>
      <c r="E63" s="10" cm="1">
        <f t="array" ref="E63">gavg(AF63,EL63)</f>
        <v>1.4999999999999993</v>
      </c>
      <c r="F63" s="10" cm="1">
        <f t="array" ref="F63">lnstdev(AF63,EL63)</f>
        <v>1.4028979416061518E-8</v>
      </c>
      <c r="G63" s="10">
        <f t="shared" si="11"/>
        <v>78</v>
      </c>
      <c r="H63" s="10">
        <f t="shared" si="12"/>
        <v>0</v>
      </c>
      <c r="I63" s="10">
        <f t="shared" si="13"/>
        <v>0</v>
      </c>
      <c r="J63" s="10"/>
      <c r="K63" s="10"/>
      <c r="L63" s="10">
        <f t="shared" si="14"/>
        <v>0</v>
      </c>
      <c r="M63" s="10">
        <f t="shared" si="15"/>
        <v>0</v>
      </c>
      <c r="N63" s="10">
        <f t="shared" si="16"/>
        <v>0</v>
      </c>
      <c r="O63" s="10">
        <f t="shared" si="17"/>
        <v>0</v>
      </c>
      <c r="P63" s="10">
        <f t="shared" si="18"/>
        <v>1.5</v>
      </c>
      <c r="Q63" s="10">
        <f t="shared" si="19"/>
        <v>1.5</v>
      </c>
      <c r="R63" s="10">
        <f t="shared" si="20"/>
        <v>29</v>
      </c>
      <c r="S63" s="10">
        <f t="shared" si="21"/>
        <v>1.5</v>
      </c>
      <c r="T63" s="10">
        <f t="shared" si="22"/>
        <v>1.5</v>
      </c>
      <c r="U63" s="10">
        <f t="shared" si="23"/>
        <v>31</v>
      </c>
      <c r="V63" s="10">
        <f t="shared" si="0"/>
        <v>1.5</v>
      </c>
      <c r="W63" s="10">
        <f t="shared" si="1"/>
        <v>1.5</v>
      </c>
      <c r="X63" s="10">
        <f t="shared" si="2"/>
        <v>18</v>
      </c>
      <c r="Y63" s="10">
        <f t="shared" si="3"/>
        <v>1.5</v>
      </c>
      <c r="Z63" s="10">
        <f t="shared" si="4"/>
        <v>1.5</v>
      </c>
      <c r="AA63" s="10">
        <f t="shared" si="5"/>
        <v>4</v>
      </c>
      <c r="AB63" s="10">
        <f t="shared" si="6"/>
        <v>1.5</v>
      </c>
      <c r="AC63" s="10">
        <f t="shared" si="7"/>
        <v>1.5</v>
      </c>
      <c r="AD63" s="10">
        <f t="shared" si="8"/>
        <v>14</v>
      </c>
      <c r="AE63" t="s">
        <v>243</v>
      </c>
      <c r="AF63" s="10" t="s">
        <v>247</v>
      </c>
      <c r="AG63" s="10" t="s">
        <v>247</v>
      </c>
      <c r="AH63" s="10" t="s">
        <v>247</v>
      </c>
      <c r="AI63" s="10" t="s">
        <v>247</v>
      </c>
      <c r="AJ63" s="10" t="s">
        <v>247</v>
      </c>
      <c r="AK63" s="10" t="s">
        <v>247</v>
      </c>
      <c r="AL63" s="10" t="s">
        <v>247</v>
      </c>
      <c r="AM63" s="10" t="s">
        <v>247</v>
      </c>
      <c r="AN63" s="10" t="s">
        <v>247</v>
      </c>
      <c r="AO63" s="10" t="s">
        <v>247</v>
      </c>
      <c r="AP63" s="10" t="s">
        <v>247</v>
      </c>
      <c r="AQ63" s="10" t="s">
        <v>247</v>
      </c>
      <c r="AR63" s="10" t="s">
        <v>247</v>
      </c>
      <c r="AS63" s="10" t="s">
        <v>247</v>
      </c>
      <c r="AT63" s="10" t="s">
        <v>247</v>
      </c>
      <c r="AU63" s="10" t="s">
        <v>247</v>
      </c>
      <c r="AV63" s="10" t="s">
        <v>247</v>
      </c>
      <c r="AW63" s="10" t="s">
        <v>247</v>
      </c>
      <c r="AX63" s="10" t="s">
        <v>247</v>
      </c>
      <c r="AY63" s="10" t="s">
        <v>247</v>
      </c>
      <c r="AZ63" s="10" t="s">
        <v>247</v>
      </c>
      <c r="BA63" s="10" t="s">
        <v>247</v>
      </c>
      <c r="BB63" s="10" t="s">
        <v>247</v>
      </c>
      <c r="BC63" s="10" t="s">
        <v>247</v>
      </c>
      <c r="BD63" s="10" t="s">
        <v>247</v>
      </c>
      <c r="BE63" s="10" t="s">
        <v>247</v>
      </c>
      <c r="BF63" s="10" t="s">
        <v>247</v>
      </c>
      <c r="BG63" s="10" t="s">
        <v>247</v>
      </c>
      <c r="BH63" s="10" t="s">
        <v>247</v>
      </c>
      <c r="BI63" s="10" t="s">
        <v>247</v>
      </c>
      <c r="BJ63" s="10" t="s">
        <v>247</v>
      </c>
      <c r="BK63" s="10" t="s">
        <v>247</v>
      </c>
      <c r="BL63" s="10" t="s">
        <v>247</v>
      </c>
      <c r="BM63" s="10">
        <v>1.5</v>
      </c>
      <c r="BN63" s="10">
        <v>1.5</v>
      </c>
      <c r="BO63" s="10">
        <v>1.5</v>
      </c>
      <c r="BP63" s="10">
        <v>1.5</v>
      </c>
      <c r="BQ63" s="10">
        <v>1.5</v>
      </c>
      <c r="BR63" s="10">
        <v>1.5</v>
      </c>
      <c r="BS63" s="10">
        <v>1.5</v>
      </c>
      <c r="BT63" s="10">
        <v>1.5</v>
      </c>
      <c r="BU63" s="10">
        <v>1.5</v>
      </c>
      <c r="BV63" s="10">
        <v>1.5</v>
      </c>
      <c r="BW63" s="10">
        <v>1.5</v>
      </c>
      <c r="BX63" s="10">
        <v>1.5</v>
      </c>
      <c r="BY63" s="10">
        <v>1.5</v>
      </c>
      <c r="BZ63" s="10">
        <v>1.5</v>
      </c>
      <c r="CA63" s="10">
        <v>1.5</v>
      </c>
      <c r="CB63" s="10">
        <v>1.5</v>
      </c>
      <c r="CC63" s="10">
        <v>1.5</v>
      </c>
      <c r="CD63" s="10">
        <v>1.5</v>
      </c>
      <c r="CE63" s="10">
        <v>1.5</v>
      </c>
      <c r="CF63" s="10">
        <v>1.5</v>
      </c>
      <c r="CG63" s="10">
        <v>1.5</v>
      </c>
      <c r="CH63" s="10">
        <v>1.5</v>
      </c>
      <c r="CI63" s="10">
        <v>1.5</v>
      </c>
      <c r="CJ63" s="10">
        <v>1.5</v>
      </c>
      <c r="CK63" s="10">
        <v>1.5</v>
      </c>
      <c r="CL63" s="10">
        <v>1.5</v>
      </c>
      <c r="CM63" s="10">
        <v>1.5</v>
      </c>
      <c r="CN63" s="10">
        <v>1.5</v>
      </c>
      <c r="CO63" s="10">
        <v>1.5</v>
      </c>
      <c r="CP63" s="10">
        <v>1.5</v>
      </c>
      <c r="CQ63" s="10">
        <v>1.5</v>
      </c>
      <c r="CR63" s="10">
        <v>1.5</v>
      </c>
      <c r="CS63" s="10">
        <v>1.5</v>
      </c>
      <c r="CT63" s="10">
        <v>1.5</v>
      </c>
      <c r="CU63" s="10">
        <v>1.5</v>
      </c>
      <c r="CV63" s="10">
        <v>1.5</v>
      </c>
      <c r="CW63" s="10">
        <v>1.5</v>
      </c>
      <c r="CX63" s="10">
        <v>1.5</v>
      </c>
      <c r="CY63" s="10">
        <v>1.5</v>
      </c>
      <c r="CZ63" s="10">
        <v>1.5</v>
      </c>
      <c r="DA63" s="10">
        <v>1.5</v>
      </c>
      <c r="DB63" s="10">
        <v>1.5</v>
      </c>
      <c r="DC63" s="10">
        <v>1.5</v>
      </c>
      <c r="DD63" s="10">
        <v>1.5</v>
      </c>
      <c r="DE63" s="10">
        <v>1.5</v>
      </c>
      <c r="DF63" s="10">
        <v>1.5</v>
      </c>
      <c r="DG63" s="10">
        <v>1.5</v>
      </c>
      <c r="DH63" s="10">
        <v>1.5</v>
      </c>
      <c r="DI63" s="10">
        <v>1.5</v>
      </c>
      <c r="DJ63" s="10">
        <v>1.5</v>
      </c>
      <c r="DK63" s="10">
        <v>1.5</v>
      </c>
      <c r="DL63" s="10">
        <v>1.5</v>
      </c>
      <c r="DM63" s="10">
        <v>1.5</v>
      </c>
      <c r="DN63" s="10">
        <v>1.5</v>
      </c>
      <c r="DO63" s="10">
        <v>1.5</v>
      </c>
      <c r="DP63" s="10">
        <v>1.5</v>
      </c>
      <c r="DQ63" s="10">
        <v>1.5</v>
      </c>
      <c r="DR63" s="10">
        <v>1.5</v>
      </c>
      <c r="DS63" s="10">
        <v>1.5</v>
      </c>
      <c r="DT63" s="10">
        <v>1.5</v>
      </c>
      <c r="DU63" s="10">
        <v>1.5</v>
      </c>
      <c r="DV63" s="10">
        <v>1.5</v>
      </c>
      <c r="DW63" s="10">
        <v>1.5</v>
      </c>
      <c r="DX63" s="10">
        <v>1.5</v>
      </c>
      <c r="DY63" s="10">
        <v>1.5</v>
      </c>
      <c r="DZ63" s="10">
        <v>1.5</v>
      </c>
      <c r="EA63" s="10">
        <v>1.5</v>
      </c>
      <c r="EB63" s="10">
        <v>1.5</v>
      </c>
      <c r="EC63" s="10">
        <v>1.5</v>
      </c>
      <c r="ED63" s="10">
        <v>1.5</v>
      </c>
      <c r="EE63" s="10">
        <v>1.5</v>
      </c>
      <c r="EF63" s="10">
        <v>1.5</v>
      </c>
      <c r="EG63" s="10">
        <v>1.5</v>
      </c>
      <c r="EH63" s="10">
        <v>1.5</v>
      </c>
      <c r="EI63" s="10">
        <v>1.5</v>
      </c>
      <c r="EJ63" s="10">
        <v>1.5</v>
      </c>
      <c r="EK63" s="10">
        <v>1.5</v>
      </c>
      <c r="EL63" s="10">
        <v>1.5</v>
      </c>
      <c r="EM63" s="10">
        <v>1.5</v>
      </c>
      <c r="EN63" s="10">
        <v>1.5</v>
      </c>
      <c r="EO63" s="10">
        <v>1.5</v>
      </c>
      <c r="EP63" s="10">
        <v>1.5</v>
      </c>
      <c r="EQ63" s="10">
        <v>1.5</v>
      </c>
      <c r="ER63" s="10">
        <v>1.5</v>
      </c>
      <c r="ES63" s="10">
        <v>1.5</v>
      </c>
      <c r="ET63" s="10">
        <v>1.5</v>
      </c>
      <c r="EU63" s="10">
        <v>1.5</v>
      </c>
      <c r="EV63" s="10">
        <v>1.5</v>
      </c>
      <c r="EW63" s="10">
        <v>1.5</v>
      </c>
      <c r="EX63" s="10">
        <v>1.5</v>
      </c>
      <c r="EY63" s="10">
        <v>1.5</v>
      </c>
      <c r="EZ63" s="10">
        <v>1.5</v>
      </c>
      <c r="FA63" s="10">
        <v>1.5</v>
      </c>
      <c r="FB63" s="10">
        <v>1.5</v>
      </c>
      <c r="FC63" s="10">
        <v>1.5</v>
      </c>
      <c r="FD63" s="10">
        <v>1.5</v>
      </c>
      <c r="FE63" s="10">
        <v>1.5</v>
      </c>
      <c r="FF63" s="10">
        <v>1.5</v>
      </c>
      <c r="FG63" s="10">
        <v>1.5</v>
      </c>
      <c r="FH63" s="10">
        <v>1.5</v>
      </c>
      <c r="FI63" s="10">
        <v>1.5</v>
      </c>
      <c r="FJ63" s="10">
        <v>1.5</v>
      </c>
      <c r="FK63" s="10">
        <v>1.5</v>
      </c>
    </row>
    <row r="64" spans="3:167" x14ac:dyDescent="0.2">
      <c r="C64" s="10">
        <f t="shared" si="9"/>
        <v>0</v>
      </c>
      <c r="D64" s="10">
        <f t="shared" si="10"/>
        <v>0</v>
      </c>
      <c r="E64" s="10" t="str" cm="1">
        <f t="array" ref="E64">gavg(AF64,EL64)</f>
        <v>no data</v>
      </c>
      <c r="F64" s="10" t="str" cm="1">
        <f t="array" ref="F64">lnstdev(AF64,EL64)</f>
        <v>insuff data</v>
      </c>
      <c r="G64" s="10">
        <f t="shared" si="11"/>
        <v>0</v>
      </c>
      <c r="H64" s="10">
        <f t="shared" si="12"/>
        <v>0</v>
      </c>
      <c r="I64" s="10">
        <f t="shared" si="13"/>
        <v>0</v>
      </c>
      <c r="J64" s="10"/>
      <c r="K64" s="10"/>
      <c r="L64" s="10">
        <f t="shared" si="14"/>
        <v>0</v>
      </c>
      <c r="M64" s="10">
        <f t="shared" si="15"/>
        <v>0</v>
      </c>
      <c r="N64" s="10">
        <f t="shared" si="16"/>
        <v>0</v>
      </c>
      <c r="O64" s="10">
        <f t="shared" si="17"/>
        <v>0</v>
      </c>
      <c r="P64" s="10">
        <f t="shared" si="18"/>
        <v>0</v>
      </c>
      <c r="Q64" s="10">
        <f t="shared" si="19"/>
        <v>0</v>
      </c>
      <c r="R64" s="10">
        <f t="shared" si="20"/>
        <v>0</v>
      </c>
      <c r="S64" s="10">
        <f t="shared" si="21"/>
        <v>0</v>
      </c>
      <c r="T64" s="10">
        <f t="shared" si="22"/>
        <v>0</v>
      </c>
      <c r="U64" s="10">
        <f t="shared" si="23"/>
        <v>0</v>
      </c>
      <c r="V64" s="10">
        <f t="shared" si="0"/>
        <v>0</v>
      </c>
      <c r="W64" s="10">
        <f t="shared" si="1"/>
        <v>0</v>
      </c>
      <c r="X64" s="10">
        <f t="shared" si="2"/>
        <v>0</v>
      </c>
      <c r="Y64" s="10">
        <f t="shared" si="3"/>
        <v>0</v>
      </c>
      <c r="Z64" s="10">
        <f t="shared" si="4"/>
        <v>0</v>
      </c>
      <c r="AA64" s="10">
        <f t="shared" si="5"/>
        <v>0</v>
      </c>
      <c r="AB64" s="10">
        <f t="shared" si="6"/>
        <v>0</v>
      </c>
      <c r="AC64" s="10">
        <f t="shared" si="7"/>
        <v>0</v>
      </c>
      <c r="AD64" s="10">
        <f t="shared" si="8"/>
        <v>0</v>
      </c>
      <c r="AE64" t="s">
        <v>244</v>
      </c>
      <c r="AF64" s="9" t="s">
        <v>246</v>
      </c>
      <c r="AG64" s="9" t="s">
        <v>246</v>
      </c>
      <c r="AH64" s="9" t="s">
        <v>246</v>
      </c>
      <c r="AI64" s="9" t="s">
        <v>246</v>
      </c>
      <c r="AJ64" s="9" t="s">
        <v>246</v>
      </c>
      <c r="AK64" s="9" t="s">
        <v>246</v>
      </c>
      <c r="AL64" s="9" t="s">
        <v>246</v>
      </c>
      <c r="AM64" s="9" t="s">
        <v>246</v>
      </c>
      <c r="AN64" s="9" t="s">
        <v>246</v>
      </c>
      <c r="AO64" s="9" t="s">
        <v>246</v>
      </c>
      <c r="AP64" s="9" t="s">
        <v>246</v>
      </c>
      <c r="AQ64" s="9" t="s">
        <v>246</v>
      </c>
      <c r="AR64" s="9" t="s">
        <v>246</v>
      </c>
      <c r="AS64" s="9" t="s">
        <v>246</v>
      </c>
      <c r="AT64" s="9" t="s">
        <v>246</v>
      </c>
      <c r="AU64" s="9" t="s">
        <v>246</v>
      </c>
      <c r="AV64" s="9" t="s">
        <v>246</v>
      </c>
      <c r="AW64" s="9" t="s">
        <v>246</v>
      </c>
      <c r="AX64" s="9" t="s">
        <v>246</v>
      </c>
      <c r="AY64" s="9" t="s">
        <v>246</v>
      </c>
      <c r="AZ64" s="9" t="s">
        <v>246</v>
      </c>
      <c r="BA64" s="9" t="s">
        <v>246</v>
      </c>
      <c r="BB64" s="9" t="s">
        <v>246</v>
      </c>
      <c r="BC64" s="9" t="s">
        <v>246</v>
      </c>
      <c r="BD64" s="9" t="s">
        <v>246</v>
      </c>
      <c r="BE64" s="9" t="s">
        <v>246</v>
      </c>
      <c r="BF64" s="9" t="s">
        <v>246</v>
      </c>
      <c r="BG64" s="9" t="s">
        <v>246</v>
      </c>
      <c r="BH64" s="9" t="s">
        <v>246</v>
      </c>
      <c r="BI64" s="9" t="s">
        <v>246</v>
      </c>
      <c r="BJ64" s="9" t="s">
        <v>246</v>
      </c>
      <c r="BK64" s="9" t="s">
        <v>246</v>
      </c>
      <c r="BL64" s="9" t="s">
        <v>246</v>
      </c>
      <c r="BM64" s="9" t="s">
        <v>246</v>
      </c>
      <c r="BN64" s="10" t="s">
        <v>242</v>
      </c>
      <c r="BO64" s="10" t="s">
        <v>242</v>
      </c>
      <c r="BP64" s="9" t="s">
        <v>246</v>
      </c>
      <c r="BQ64" s="9" t="s">
        <v>246</v>
      </c>
      <c r="BR64" s="9" t="s">
        <v>246</v>
      </c>
      <c r="BS64" s="9" t="s">
        <v>246</v>
      </c>
      <c r="BT64" s="9" t="s">
        <v>246</v>
      </c>
      <c r="BU64" s="10" t="s">
        <v>242</v>
      </c>
      <c r="BV64" s="10" t="s">
        <v>242</v>
      </c>
      <c r="BW64" s="10" t="s">
        <v>242</v>
      </c>
      <c r="BX64" s="10" t="s">
        <v>242</v>
      </c>
      <c r="BY64" s="10" t="s">
        <v>242</v>
      </c>
      <c r="BZ64" s="9" t="s">
        <v>246</v>
      </c>
      <c r="CA64" s="10" t="s">
        <v>242</v>
      </c>
      <c r="CB64" s="10" t="s">
        <v>242</v>
      </c>
      <c r="CC64" s="10" t="s">
        <v>242</v>
      </c>
      <c r="CD64" s="10" t="s">
        <v>242</v>
      </c>
      <c r="CE64" s="10" t="s">
        <v>242</v>
      </c>
      <c r="CF64" s="10" t="s">
        <v>242</v>
      </c>
      <c r="CG64" s="10" t="s">
        <v>242</v>
      </c>
      <c r="CH64" s="10" t="s">
        <v>242</v>
      </c>
      <c r="CI64" s="10" t="s">
        <v>242</v>
      </c>
      <c r="CJ64" s="10" t="s">
        <v>242</v>
      </c>
      <c r="CK64" s="10" t="s">
        <v>242</v>
      </c>
      <c r="CL64" s="10" t="s">
        <v>242</v>
      </c>
      <c r="CM64" s="10" t="s">
        <v>242</v>
      </c>
      <c r="CN64" s="10" t="s">
        <v>242</v>
      </c>
      <c r="CO64" s="10" t="s">
        <v>242</v>
      </c>
      <c r="CP64" s="9" t="s">
        <v>246</v>
      </c>
      <c r="CQ64" s="9" t="s">
        <v>246</v>
      </c>
      <c r="CR64" s="9" t="s">
        <v>246</v>
      </c>
      <c r="CS64" s="9" t="s">
        <v>246</v>
      </c>
      <c r="CT64" s="9" t="s">
        <v>246</v>
      </c>
      <c r="CU64" s="9" t="s">
        <v>246</v>
      </c>
      <c r="CV64" s="9" t="s">
        <v>246</v>
      </c>
      <c r="CW64" s="9" t="s">
        <v>246</v>
      </c>
      <c r="CX64" s="9" t="s">
        <v>246</v>
      </c>
      <c r="CY64" s="9" t="s">
        <v>246</v>
      </c>
      <c r="CZ64" s="9" t="s">
        <v>246</v>
      </c>
      <c r="DA64" s="9" t="s">
        <v>246</v>
      </c>
      <c r="DB64" s="9" t="s">
        <v>246</v>
      </c>
      <c r="DC64" s="9" t="s">
        <v>246</v>
      </c>
      <c r="DD64" s="9" t="s">
        <v>246</v>
      </c>
      <c r="DE64" s="9" t="s">
        <v>246</v>
      </c>
      <c r="DF64" s="9" t="s">
        <v>246</v>
      </c>
      <c r="DG64" s="9" t="s">
        <v>246</v>
      </c>
      <c r="DH64" s="9" t="s">
        <v>246</v>
      </c>
      <c r="DI64" s="9" t="s">
        <v>246</v>
      </c>
      <c r="DJ64" s="9" t="s">
        <v>246</v>
      </c>
      <c r="DK64" s="9" t="s">
        <v>246</v>
      </c>
      <c r="DL64" s="9" t="s">
        <v>246</v>
      </c>
      <c r="DM64" s="9" t="s">
        <v>246</v>
      </c>
      <c r="DN64" s="9" t="s">
        <v>246</v>
      </c>
      <c r="DO64" s="9" t="s">
        <v>246</v>
      </c>
      <c r="DP64" s="9" t="s">
        <v>246</v>
      </c>
      <c r="DQ64" s="9" t="s">
        <v>246</v>
      </c>
      <c r="DR64" s="9" t="s">
        <v>246</v>
      </c>
      <c r="DS64" s="9" t="s">
        <v>246</v>
      </c>
      <c r="DT64" s="9" t="s">
        <v>246</v>
      </c>
      <c r="DU64" s="9" t="s">
        <v>246</v>
      </c>
      <c r="DV64" s="9" t="s">
        <v>246</v>
      </c>
      <c r="DW64" s="9" t="s">
        <v>246</v>
      </c>
      <c r="DX64" s="9" t="s">
        <v>246</v>
      </c>
      <c r="DY64" s="9" t="s">
        <v>246</v>
      </c>
      <c r="DZ64" s="9" t="s">
        <v>246</v>
      </c>
      <c r="EA64" s="9" t="s">
        <v>246</v>
      </c>
      <c r="EB64" s="9" t="s">
        <v>246</v>
      </c>
      <c r="EC64" s="9" t="s">
        <v>246</v>
      </c>
      <c r="ED64" s="9" t="s">
        <v>246</v>
      </c>
      <c r="EE64" s="9" t="s">
        <v>246</v>
      </c>
      <c r="EF64" s="9" t="s">
        <v>246</v>
      </c>
      <c r="EG64" s="9" t="s">
        <v>246</v>
      </c>
      <c r="EH64" s="9" t="s">
        <v>246</v>
      </c>
      <c r="EI64" s="9" t="s">
        <v>246</v>
      </c>
      <c r="EJ64" s="9" t="s">
        <v>246</v>
      </c>
      <c r="EK64" s="9" t="s">
        <v>246</v>
      </c>
      <c r="EL64" s="9" t="s">
        <v>246</v>
      </c>
      <c r="EM64" s="9" t="s">
        <v>246</v>
      </c>
      <c r="EN64" s="9" t="s">
        <v>246</v>
      </c>
      <c r="EO64" s="9" t="s">
        <v>246</v>
      </c>
      <c r="EP64" s="9" t="s">
        <v>246</v>
      </c>
      <c r="EQ64" s="9" t="s">
        <v>246</v>
      </c>
      <c r="ER64" s="9" t="s">
        <v>246</v>
      </c>
      <c r="ES64" s="9" t="s">
        <v>246</v>
      </c>
      <c r="ET64" s="9" t="s">
        <v>246</v>
      </c>
      <c r="EU64" s="9" t="s">
        <v>246</v>
      </c>
      <c r="EV64" s="9" t="s">
        <v>246</v>
      </c>
      <c r="EW64" s="9" t="s">
        <v>246</v>
      </c>
      <c r="EX64" s="9" t="s">
        <v>246</v>
      </c>
      <c r="EY64" s="9" t="s">
        <v>246</v>
      </c>
      <c r="EZ64" s="9" t="s">
        <v>246</v>
      </c>
      <c r="FA64" s="9" t="s">
        <v>246</v>
      </c>
      <c r="FB64" s="9" t="s">
        <v>246</v>
      </c>
      <c r="FC64" s="9" t="s">
        <v>246</v>
      </c>
      <c r="FD64" s="9" t="s">
        <v>246</v>
      </c>
      <c r="FE64" s="9" t="s">
        <v>246</v>
      </c>
      <c r="FF64" s="9" t="s">
        <v>246</v>
      </c>
      <c r="FG64" s="9" t="s">
        <v>246</v>
      </c>
      <c r="FH64" s="9" t="s">
        <v>246</v>
      </c>
      <c r="FI64" s="9" t="s">
        <v>246</v>
      </c>
      <c r="FJ64" s="9" t="s">
        <v>246</v>
      </c>
      <c r="FK64" s="9" t="s">
        <v>246</v>
      </c>
    </row>
    <row r="65" spans="3:167" x14ac:dyDescent="0.2">
      <c r="C65" s="10">
        <f t="shared" si="9"/>
        <v>0</v>
      </c>
      <c r="D65" s="10">
        <f t="shared" si="10"/>
        <v>0</v>
      </c>
      <c r="E65" s="10" t="str" cm="1">
        <f t="array" ref="E65">gavg(AF65,EL65)</f>
        <v>no data</v>
      </c>
      <c r="F65" s="10" t="str" cm="1">
        <f t="array" ref="F65">lnstdev(AF65,EL65)</f>
        <v>insuff data</v>
      </c>
      <c r="G65" s="10">
        <f t="shared" si="11"/>
        <v>0</v>
      </c>
      <c r="H65" s="10">
        <f t="shared" si="12"/>
        <v>0</v>
      </c>
      <c r="I65" s="10">
        <f t="shared" si="13"/>
        <v>0</v>
      </c>
      <c r="J65" s="10"/>
      <c r="K65" s="10"/>
      <c r="L65" s="10">
        <f t="shared" si="14"/>
        <v>0</v>
      </c>
      <c r="M65" s="10">
        <f t="shared" si="15"/>
        <v>0</v>
      </c>
      <c r="N65" s="10">
        <f t="shared" si="16"/>
        <v>0</v>
      </c>
      <c r="O65" s="10">
        <f t="shared" si="17"/>
        <v>0</v>
      </c>
      <c r="P65" s="10">
        <f t="shared" si="18"/>
        <v>0</v>
      </c>
      <c r="Q65" s="10">
        <f t="shared" si="19"/>
        <v>0</v>
      </c>
      <c r="R65" s="10">
        <f t="shared" si="20"/>
        <v>0</v>
      </c>
      <c r="S65" s="10">
        <f t="shared" si="21"/>
        <v>0</v>
      </c>
      <c r="T65" s="10">
        <f t="shared" si="22"/>
        <v>0</v>
      </c>
      <c r="U65" s="10">
        <f t="shared" si="23"/>
        <v>0</v>
      </c>
      <c r="V65" s="10">
        <f t="shared" si="0"/>
        <v>0</v>
      </c>
      <c r="W65" s="10">
        <f t="shared" si="1"/>
        <v>0</v>
      </c>
      <c r="X65" s="10">
        <f t="shared" si="2"/>
        <v>0</v>
      </c>
      <c r="Y65" s="10">
        <f t="shared" si="3"/>
        <v>0</v>
      </c>
      <c r="Z65" s="10">
        <f t="shared" si="4"/>
        <v>0</v>
      </c>
      <c r="AA65" s="10">
        <f t="shared" si="5"/>
        <v>0</v>
      </c>
      <c r="AB65" s="10">
        <f t="shared" si="6"/>
        <v>0</v>
      </c>
      <c r="AC65" s="10">
        <f t="shared" si="7"/>
        <v>0</v>
      </c>
      <c r="AD65" s="10">
        <f t="shared" si="8"/>
        <v>0</v>
      </c>
      <c r="AE65" t="s">
        <v>245</v>
      </c>
      <c r="AF65" s="9" t="s">
        <v>246</v>
      </c>
      <c r="AG65" s="10" t="s">
        <v>246</v>
      </c>
      <c r="AH65" s="10" t="s">
        <v>246</v>
      </c>
      <c r="AI65" s="10" t="s">
        <v>246</v>
      </c>
      <c r="AJ65" s="10" t="s">
        <v>246</v>
      </c>
      <c r="AK65" s="10" t="s">
        <v>246</v>
      </c>
      <c r="AL65" s="10" t="s">
        <v>246</v>
      </c>
      <c r="AM65" s="10" t="s">
        <v>246</v>
      </c>
      <c r="AN65" s="10" t="s">
        <v>246</v>
      </c>
      <c r="AO65" s="10" t="s">
        <v>246</v>
      </c>
      <c r="AP65" s="10" t="s">
        <v>246</v>
      </c>
      <c r="AQ65" s="10" t="s">
        <v>246</v>
      </c>
      <c r="AR65" s="10" t="s">
        <v>246</v>
      </c>
      <c r="AS65" s="10" t="s">
        <v>246</v>
      </c>
      <c r="AT65" s="10" t="s">
        <v>246</v>
      </c>
      <c r="AU65" s="10" t="s">
        <v>246</v>
      </c>
      <c r="AV65" s="10" t="s">
        <v>246</v>
      </c>
      <c r="AW65" s="10" t="s">
        <v>246</v>
      </c>
      <c r="AX65" s="10" t="s">
        <v>246</v>
      </c>
      <c r="AY65" s="10" t="s">
        <v>246</v>
      </c>
      <c r="AZ65" s="10" t="s">
        <v>246</v>
      </c>
      <c r="BA65" s="10" t="s">
        <v>246</v>
      </c>
      <c r="BB65" s="10" t="s">
        <v>246</v>
      </c>
      <c r="BC65" s="10" t="s">
        <v>246</v>
      </c>
      <c r="BD65" s="10" t="s">
        <v>246</v>
      </c>
      <c r="BE65" s="10" t="s">
        <v>246</v>
      </c>
      <c r="BF65" s="10" t="s">
        <v>246</v>
      </c>
      <c r="BG65" s="10" t="s">
        <v>246</v>
      </c>
      <c r="BH65" s="10" t="s">
        <v>246</v>
      </c>
      <c r="BI65" s="10" t="s">
        <v>246</v>
      </c>
      <c r="BJ65" s="10" t="s">
        <v>246</v>
      </c>
      <c r="BK65" s="10" t="s">
        <v>246</v>
      </c>
      <c r="BL65" s="10" t="s">
        <v>246</v>
      </c>
      <c r="BM65" s="10" t="s">
        <v>246</v>
      </c>
      <c r="BN65" s="10" t="s">
        <v>246</v>
      </c>
      <c r="BO65" s="10" t="s">
        <v>242</v>
      </c>
      <c r="BP65" s="10" t="s">
        <v>246</v>
      </c>
      <c r="BQ65" s="10" t="s">
        <v>246</v>
      </c>
      <c r="BR65" s="10" t="s">
        <v>246</v>
      </c>
      <c r="BS65" s="10" t="s">
        <v>246</v>
      </c>
      <c r="BT65" s="10" t="s">
        <v>246</v>
      </c>
      <c r="BU65" s="10" t="s">
        <v>246</v>
      </c>
      <c r="BV65" s="10" t="s">
        <v>246</v>
      </c>
      <c r="BW65" s="10" t="s">
        <v>246</v>
      </c>
      <c r="BX65" s="10" t="s">
        <v>246</v>
      </c>
      <c r="BY65" s="10" t="s">
        <v>242</v>
      </c>
      <c r="BZ65" s="10" t="s">
        <v>246</v>
      </c>
      <c r="CA65" s="10" t="s">
        <v>246</v>
      </c>
      <c r="CB65" s="10" t="s">
        <v>246</v>
      </c>
      <c r="CC65" s="10" t="s">
        <v>246</v>
      </c>
      <c r="CD65" s="10" t="s">
        <v>242</v>
      </c>
      <c r="CE65" s="10" t="s">
        <v>242</v>
      </c>
      <c r="CF65" s="10" t="s">
        <v>242</v>
      </c>
      <c r="CG65" s="10" t="s">
        <v>242</v>
      </c>
      <c r="CH65" s="10" t="s">
        <v>242</v>
      </c>
      <c r="CI65" s="10" t="s">
        <v>242</v>
      </c>
      <c r="CJ65" s="10" t="s">
        <v>242</v>
      </c>
      <c r="CK65" s="10" t="s">
        <v>242</v>
      </c>
      <c r="CL65" s="10" t="s">
        <v>242</v>
      </c>
      <c r="CM65" s="10" t="s">
        <v>242</v>
      </c>
      <c r="CN65" s="10" t="s">
        <v>242</v>
      </c>
      <c r="CO65" s="10" t="s">
        <v>242</v>
      </c>
      <c r="CP65" s="10" t="s">
        <v>246</v>
      </c>
      <c r="CQ65" s="10" t="s">
        <v>246</v>
      </c>
      <c r="CR65" s="10" t="s">
        <v>246</v>
      </c>
      <c r="CS65" s="10" t="s">
        <v>246</v>
      </c>
      <c r="CT65" s="10" t="s">
        <v>246</v>
      </c>
      <c r="CU65" s="10" t="s">
        <v>246</v>
      </c>
      <c r="CV65" s="10" t="s">
        <v>246</v>
      </c>
      <c r="CW65" s="10" t="s">
        <v>246</v>
      </c>
      <c r="CX65" s="10" t="s">
        <v>246</v>
      </c>
      <c r="CY65" s="10" t="s">
        <v>246</v>
      </c>
      <c r="CZ65" s="10" t="s">
        <v>246</v>
      </c>
      <c r="DA65" s="10" t="s">
        <v>246</v>
      </c>
      <c r="DB65" s="10" t="s">
        <v>246</v>
      </c>
      <c r="DC65" s="10" t="s">
        <v>246</v>
      </c>
      <c r="DD65" s="10" t="s">
        <v>246</v>
      </c>
      <c r="DE65" s="10" t="s">
        <v>246</v>
      </c>
      <c r="DF65" s="10" t="s">
        <v>246</v>
      </c>
      <c r="DG65" s="10" t="s">
        <v>246</v>
      </c>
      <c r="DH65" s="10" t="s">
        <v>246</v>
      </c>
      <c r="DI65" s="10" t="s">
        <v>246</v>
      </c>
      <c r="DJ65" s="10" t="s">
        <v>246</v>
      </c>
      <c r="DK65" s="10" t="s">
        <v>246</v>
      </c>
      <c r="DL65" s="10" t="s">
        <v>246</v>
      </c>
      <c r="DM65" s="10" t="s">
        <v>246</v>
      </c>
      <c r="DN65" s="10" t="s">
        <v>246</v>
      </c>
      <c r="DO65" s="10" t="s">
        <v>246</v>
      </c>
      <c r="DP65" s="10" t="s">
        <v>246</v>
      </c>
      <c r="DQ65" s="10" t="s">
        <v>246</v>
      </c>
      <c r="DR65" s="10" t="s">
        <v>246</v>
      </c>
      <c r="DS65" s="10" t="s">
        <v>246</v>
      </c>
      <c r="DT65" s="10" t="s">
        <v>246</v>
      </c>
      <c r="DU65" s="10" t="s">
        <v>246</v>
      </c>
      <c r="DV65" s="10" t="s">
        <v>246</v>
      </c>
      <c r="DW65" s="10" t="s">
        <v>246</v>
      </c>
      <c r="DX65" s="10" t="s">
        <v>246</v>
      </c>
      <c r="DY65" s="10" t="s">
        <v>246</v>
      </c>
      <c r="DZ65" s="10" t="s">
        <v>246</v>
      </c>
      <c r="EA65" s="10" t="s">
        <v>246</v>
      </c>
      <c r="EB65" s="10" t="s">
        <v>246</v>
      </c>
      <c r="EC65" s="10" t="s">
        <v>246</v>
      </c>
      <c r="ED65" s="10" t="s">
        <v>246</v>
      </c>
      <c r="EE65" s="10" t="s">
        <v>246</v>
      </c>
      <c r="EF65" s="10" t="s">
        <v>246</v>
      </c>
      <c r="EG65" s="10" t="s">
        <v>246</v>
      </c>
      <c r="EH65" s="10" t="s">
        <v>246</v>
      </c>
      <c r="EI65" s="10" t="s">
        <v>246</v>
      </c>
      <c r="EJ65" s="10" t="s">
        <v>246</v>
      </c>
      <c r="EK65" s="10" t="s">
        <v>246</v>
      </c>
      <c r="EL65" s="10" t="s">
        <v>246</v>
      </c>
      <c r="EM65" s="10" t="s">
        <v>246</v>
      </c>
      <c r="EN65" s="10" t="s">
        <v>246</v>
      </c>
      <c r="EO65" s="10" t="s">
        <v>246</v>
      </c>
      <c r="EP65" s="10" t="s">
        <v>246</v>
      </c>
      <c r="EQ65" s="10" t="s">
        <v>246</v>
      </c>
      <c r="ER65" s="10" t="s">
        <v>246</v>
      </c>
      <c r="ES65" s="10" t="s">
        <v>246</v>
      </c>
      <c r="ET65" s="10" t="s">
        <v>246</v>
      </c>
      <c r="EU65" s="10" t="s">
        <v>246</v>
      </c>
      <c r="EV65" s="10" t="s">
        <v>246</v>
      </c>
      <c r="EW65" s="10" t="s">
        <v>246</v>
      </c>
      <c r="EX65" s="10" t="s">
        <v>246</v>
      </c>
      <c r="EY65" s="10" t="s">
        <v>246</v>
      </c>
      <c r="EZ65" s="10" t="s">
        <v>246</v>
      </c>
      <c r="FA65" s="10" t="s">
        <v>246</v>
      </c>
      <c r="FB65" s="10" t="s">
        <v>246</v>
      </c>
      <c r="FC65" s="10" t="s">
        <v>246</v>
      </c>
      <c r="FD65" s="10" t="s">
        <v>246</v>
      </c>
      <c r="FE65" s="10" t="s">
        <v>246</v>
      </c>
      <c r="FF65" s="10" t="s">
        <v>246</v>
      </c>
      <c r="FG65" s="10" t="s">
        <v>246</v>
      </c>
      <c r="FH65" s="10" t="s">
        <v>246</v>
      </c>
      <c r="FI65" s="10" t="s">
        <v>246</v>
      </c>
      <c r="FJ65" s="10" t="s">
        <v>246</v>
      </c>
      <c r="FK65" s="10" t="s">
        <v>246</v>
      </c>
    </row>
    <row r="66" spans="3:167" x14ac:dyDescent="0.2">
      <c r="C66" s="10">
        <f t="shared" si="9"/>
        <v>0</v>
      </c>
      <c r="D66" s="10">
        <f t="shared" si="10"/>
        <v>500</v>
      </c>
      <c r="E66" s="10" cm="1">
        <f t="array" ref="E66">gavg(AF66,EL66)</f>
        <v>500.00000000000608</v>
      </c>
      <c r="F66" s="10" cm="1">
        <f t="array" ref="F66">lnstdev(AF66,EL66)</f>
        <v>0</v>
      </c>
      <c r="G66" s="10">
        <f t="shared" si="11"/>
        <v>111</v>
      </c>
      <c r="H66" s="10">
        <f t="shared" si="12"/>
        <v>0</v>
      </c>
      <c r="I66" s="10">
        <f t="shared" si="13"/>
        <v>0</v>
      </c>
      <c r="J66" s="10"/>
      <c r="K66" s="10"/>
      <c r="L66" s="10">
        <f t="shared" si="14"/>
        <v>10</v>
      </c>
      <c r="M66" s="10">
        <f t="shared" si="15"/>
        <v>0</v>
      </c>
      <c r="N66" s="10">
        <f t="shared" si="16"/>
        <v>0</v>
      </c>
      <c r="O66" s="10">
        <f t="shared" si="17"/>
        <v>23</v>
      </c>
      <c r="P66" s="10">
        <f t="shared" si="18"/>
        <v>500</v>
      </c>
      <c r="Q66" s="10">
        <f t="shared" si="19"/>
        <v>500</v>
      </c>
      <c r="R66" s="10">
        <f t="shared" si="20"/>
        <v>29</v>
      </c>
      <c r="S66" s="10">
        <f t="shared" si="21"/>
        <v>500</v>
      </c>
      <c r="T66" s="10">
        <f t="shared" si="22"/>
        <v>500</v>
      </c>
      <c r="U66" s="10">
        <f t="shared" si="23"/>
        <v>31</v>
      </c>
      <c r="V66" s="10">
        <f t="shared" si="0"/>
        <v>500</v>
      </c>
      <c r="W66" s="10">
        <f t="shared" si="1"/>
        <v>500</v>
      </c>
      <c r="X66" s="10">
        <f t="shared" si="2"/>
        <v>18</v>
      </c>
      <c r="Y66" s="10">
        <f t="shared" si="3"/>
        <v>500</v>
      </c>
      <c r="Z66" s="10">
        <f t="shared" si="4"/>
        <v>500</v>
      </c>
      <c r="AA66" s="10">
        <f t="shared" si="5"/>
        <v>4</v>
      </c>
      <c r="AB66" s="10">
        <f t="shared" si="6"/>
        <v>500</v>
      </c>
      <c r="AC66" s="10">
        <f t="shared" si="7"/>
        <v>500</v>
      </c>
      <c r="AD66" s="10">
        <f t="shared" si="8"/>
        <v>14</v>
      </c>
      <c r="AE66" s="5" t="s">
        <v>315</v>
      </c>
      <c r="AF66" s="9">
        <v>0</v>
      </c>
      <c r="AG66" s="9">
        <v>0</v>
      </c>
      <c r="AH66" s="9">
        <v>0</v>
      </c>
      <c r="AI66" s="9">
        <v>0</v>
      </c>
      <c r="AJ66" s="9">
        <v>0</v>
      </c>
      <c r="AK66" s="9">
        <v>0</v>
      </c>
      <c r="AL66" s="9">
        <v>0</v>
      </c>
      <c r="AM66" s="9">
        <v>0</v>
      </c>
      <c r="AN66" s="9">
        <v>0</v>
      </c>
      <c r="AO66" s="9">
        <v>0</v>
      </c>
      <c r="AP66" s="9">
        <v>0</v>
      </c>
      <c r="AQ66" s="9">
        <v>0</v>
      </c>
      <c r="AR66" s="9">
        <v>0</v>
      </c>
      <c r="AS66" s="9">
        <v>0</v>
      </c>
      <c r="AT66" s="9">
        <v>0</v>
      </c>
      <c r="AU66" s="9">
        <v>0</v>
      </c>
      <c r="AV66" s="9">
        <v>0</v>
      </c>
      <c r="AW66" s="9">
        <v>0</v>
      </c>
      <c r="AX66" s="9">
        <v>0</v>
      </c>
      <c r="AY66" s="9">
        <v>0</v>
      </c>
      <c r="AZ66" s="9">
        <v>0</v>
      </c>
      <c r="BA66" s="9">
        <v>0</v>
      </c>
      <c r="BB66" s="9">
        <v>0</v>
      </c>
      <c r="BC66" s="9">
        <v>0</v>
      </c>
      <c r="BD66" s="9">
        <v>0</v>
      </c>
      <c r="BE66" s="9">
        <v>0</v>
      </c>
      <c r="BF66" s="9">
        <v>0</v>
      </c>
      <c r="BG66" s="9">
        <v>0</v>
      </c>
      <c r="BH66" s="9">
        <v>0</v>
      </c>
      <c r="BI66" s="9">
        <v>0</v>
      </c>
      <c r="BJ66" s="9">
        <v>0</v>
      </c>
      <c r="BK66" s="9">
        <v>0</v>
      </c>
      <c r="BL66" s="9">
        <v>0</v>
      </c>
      <c r="BM66" s="10">
        <v>500</v>
      </c>
      <c r="BN66" s="10">
        <v>500</v>
      </c>
      <c r="BO66" s="10">
        <v>500</v>
      </c>
      <c r="BP66" s="10">
        <v>500</v>
      </c>
      <c r="BQ66" s="10">
        <v>500</v>
      </c>
      <c r="BR66" s="10">
        <v>500</v>
      </c>
      <c r="BS66" s="10">
        <v>500</v>
      </c>
      <c r="BT66" s="10">
        <v>500</v>
      </c>
      <c r="BU66" s="10">
        <v>500</v>
      </c>
      <c r="BV66" s="10">
        <v>500</v>
      </c>
      <c r="BW66" s="10">
        <v>500</v>
      </c>
      <c r="BX66" s="10">
        <v>500</v>
      </c>
      <c r="BY66" s="10">
        <v>500</v>
      </c>
      <c r="BZ66" s="10">
        <v>500</v>
      </c>
      <c r="CA66" s="10">
        <v>500</v>
      </c>
      <c r="CB66" s="10">
        <v>500</v>
      </c>
      <c r="CC66" s="10">
        <v>500</v>
      </c>
      <c r="CD66" s="10">
        <v>500</v>
      </c>
      <c r="CE66" s="10">
        <v>500</v>
      </c>
      <c r="CF66" s="10">
        <v>500</v>
      </c>
      <c r="CG66" s="10">
        <v>500</v>
      </c>
      <c r="CH66" s="10">
        <v>500</v>
      </c>
      <c r="CI66" s="10">
        <v>500</v>
      </c>
      <c r="CJ66" s="10">
        <v>500</v>
      </c>
      <c r="CK66" s="10">
        <v>500</v>
      </c>
      <c r="CL66" s="10">
        <v>500</v>
      </c>
      <c r="CM66" s="10">
        <v>500</v>
      </c>
      <c r="CN66" s="10">
        <v>500</v>
      </c>
      <c r="CO66" s="10">
        <v>500</v>
      </c>
      <c r="CP66" s="10">
        <v>500</v>
      </c>
      <c r="CQ66" s="10">
        <v>500</v>
      </c>
      <c r="CR66" s="10">
        <v>500</v>
      </c>
      <c r="CS66" s="10">
        <v>500</v>
      </c>
      <c r="CT66" s="10">
        <v>500</v>
      </c>
      <c r="CU66" s="10">
        <v>500</v>
      </c>
      <c r="CV66" s="10">
        <v>500</v>
      </c>
      <c r="CW66" s="10">
        <v>500</v>
      </c>
      <c r="CX66" s="10">
        <v>500</v>
      </c>
      <c r="CY66" s="10">
        <v>500</v>
      </c>
      <c r="CZ66" s="10">
        <v>500</v>
      </c>
      <c r="DA66" s="10">
        <v>500</v>
      </c>
      <c r="DB66" s="10">
        <v>500</v>
      </c>
      <c r="DC66" s="10">
        <v>500</v>
      </c>
      <c r="DD66" s="10">
        <v>500</v>
      </c>
      <c r="DE66" s="10">
        <v>500</v>
      </c>
      <c r="DF66" s="10">
        <v>500</v>
      </c>
      <c r="DG66" s="10">
        <v>500</v>
      </c>
      <c r="DH66" s="10">
        <v>500</v>
      </c>
      <c r="DI66" s="10">
        <v>500</v>
      </c>
      <c r="DJ66" s="10">
        <v>500</v>
      </c>
      <c r="DK66" s="10">
        <v>500</v>
      </c>
      <c r="DL66" s="10">
        <v>500</v>
      </c>
      <c r="DM66" s="10">
        <v>500</v>
      </c>
      <c r="DN66" s="10">
        <v>500</v>
      </c>
      <c r="DO66" s="10">
        <v>500</v>
      </c>
      <c r="DP66" s="10">
        <v>500</v>
      </c>
      <c r="DQ66" s="10">
        <v>500</v>
      </c>
      <c r="DR66" s="10">
        <v>500</v>
      </c>
      <c r="DS66" s="10">
        <v>500</v>
      </c>
      <c r="DT66" s="10">
        <v>500</v>
      </c>
      <c r="DU66" s="10">
        <v>500</v>
      </c>
      <c r="DV66" s="10">
        <v>500</v>
      </c>
      <c r="DW66" s="10">
        <v>500</v>
      </c>
      <c r="DX66" s="10">
        <v>500</v>
      </c>
      <c r="DY66" s="10">
        <v>500</v>
      </c>
      <c r="DZ66" s="10">
        <v>500</v>
      </c>
      <c r="EA66" s="10">
        <v>500</v>
      </c>
      <c r="EB66" s="10">
        <v>500</v>
      </c>
      <c r="EC66" s="10">
        <v>500</v>
      </c>
      <c r="ED66" s="10">
        <v>500</v>
      </c>
      <c r="EE66" s="10">
        <v>500</v>
      </c>
      <c r="EF66" s="10">
        <v>500</v>
      </c>
      <c r="EG66" s="10">
        <v>500</v>
      </c>
      <c r="EH66" s="10">
        <v>500</v>
      </c>
      <c r="EI66" s="10">
        <v>500</v>
      </c>
      <c r="EJ66" s="10">
        <v>500</v>
      </c>
      <c r="EK66" s="10">
        <v>500</v>
      </c>
      <c r="EL66" s="10">
        <v>500</v>
      </c>
      <c r="EM66" s="10">
        <v>500</v>
      </c>
      <c r="EN66" s="10">
        <v>500</v>
      </c>
      <c r="EO66" s="10">
        <v>500</v>
      </c>
      <c r="EP66" s="10">
        <v>500</v>
      </c>
      <c r="EQ66" s="10">
        <v>500</v>
      </c>
      <c r="ER66" s="10">
        <v>500</v>
      </c>
      <c r="ES66" s="10">
        <v>500</v>
      </c>
      <c r="ET66" s="10">
        <v>500</v>
      </c>
      <c r="EU66" s="10">
        <v>500</v>
      </c>
      <c r="EV66" s="10">
        <v>500</v>
      </c>
      <c r="EW66" s="10">
        <v>500</v>
      </c>
      <c r="EX66" s="10">
        <v>500</v>
      </c>
      <c r="EY66" s="10">
        <v>500</v>
      </c>
      <c r="EZ66" s="10">
        <v>500</v>
      </c>
      <c r="FA66" s="10">
        <v>500</v>
      </c>
      <c r="FB66" s="10">
        <v>500</v>
      </c>
      <c r="FC66" s="10">
        <v>500</v>
      </c>
      <c r="FD66" s="10">
        <v>500</v>
      </c>
      <c r="FE66" s="10">
        <v>500</v>
      </c>
      <c r="FF66" s="10">
        <v>500</v>
      </c>
      <c r="FG66" s="10">
        <v>500</v>
      </c>
      <c r="FH66" s="10">
        <v>500</v>
      </c>
      <c r="FI66" s="10">
        <v>500</v>
      </c>
      <c r="FJ66" s="10">
        <v>500</v>
      </c>
      <c r="FK66" s="10">
        <v>500</v>
      </c>
    </row>
    <row r="67" spans="3:167" x14ac:dyDescent="0.2">
      <c r="C67" s="10"/>
      <c r="D67" s="10"/>
      <c r="E67" s="10" t="str" cm="1">
        <f t="array" ref="E67">gavg(AF67,EL67)</f>
        <v>no data</v>
      </c>
      <c r="F67" s="10" t="str" cm="1">
        <f t="array" ref="F67">lnstdev(AF67,EL67)</f>
        <v>insuff data</v>
      </c>
      <c r="G67" s="10"/>
      <c r="H67" s="10"/>
      <c r="I67" s="10"/>
      <c r="J67" s="10"/>
      <c r="K67" s="10"/>
      <c r="L67" s="10"/>
      <c r="M67" s="10"/>
      <c r="N67" s="10"/>
      <c r="O67" s="10"/>
      <c r="P67" s="10"/>
      <c r="Q67" s="10"/>
      <c r="R67" s="10"/>
      <c r="S67" s="10"/>
      <c r="T67" s="10"/>
      <c r="U67" s="10"/>
      <c r="V67" s="10"/>
      <c r="W67" s="10"/>
      <c r="X67" s="10"/>
      <c r="Y67" s="10"/>
      <c r="Z67" s="10"/>
      <c r="AA67" s="10"/>
      <c r="AB67" s="10"/>
      <c r="AC67" s="10"/>
      <c r="AD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row>
    <row r="68" spans="3:167" x14ac:dyDescent="0.2">
      <c r="C68" s="10">
        <f t="shared" si="9"/>
        <v>32700000000</v>
      </c>
      <c r="D68" s="10">
        <f t="shared" si="10"/>
        <v>105000000000</v>
      </c>
      <c r="E68" s="10" cm="1">
        <f t="array" ref="E68">gavg(AF68,EL68)</f>
        <v>42045396592.399109</v>
      </c>
      <c r="F68" s="10" cm="1">
        <f t="array" ref="F68">lnstdev(AF68,EL68)</f>
        <v>0.4411355416728871</v>
      </c>
      <c r="G68" s="10">
        <f t="shared" si="11"/>
        <v>73</v>
      </c>
      <c r="H68" s="10">
        <f t="shared" si="12"/>
        <v>105000000000</v>
      </c>
      <c r="I68" s="10">
        <f t="shared" si="13"/>
        <v>105000000000</v>
      </c>
      <c r="J68" s="10"/>
      <c r="K68" s="10"/>
      <c r="L68" s="10">
        <f t="shared" si="14"/>
        <v>4</v>
      </c>
      <c r="M68" s="10">
        <f t="shared" si="15"/>
        <v>102499999744</v>
      </c>
      <c r="N68" s="10">
        <f t="shared" si="16"/>
        <v>102499999744</v>
      </c>
      <c r="O68" s="10">
        <f t="shared" si="17"/>
        <v>10</v>
      </c>
      <c r="P68" s="10">
        <f t="shared" si="18"/>
        <v>32700000000</v>
      </c>
      <c r="Q68" s="10">
        <f t="shared" si="19"/>
        <v>32700000000</v>
      </c>
      <c r="R68" s="10">
        <f t="shared" si="20"/>
        <v>19</v>
      </c>
      <c r="S68" s="10">
        <f t="shared" si="21"/>
        <v>34600000000</v>
      </c>
      <c r="T68" s="10">
        <f t="shared" si="22"/>
        <v>34600000000</v>
      </c>
      <c r="U68" s="10">
        <f t="shared" si="23"/>
        <v>27</v>
      </c>
      <c r="V68" s="10">
        <f t="shared" ref="V68:V138" si="24">MIN($DU68:$EL68)</f>
        <v>34600000000</v>
      </c>
      <c r="W68" s="10">
        <f t="shared" ref="W68:W138" si="25">MAX($DU68:$EL68)</f>
        <v>34600000000</v>
      </c>
      <c r="X68" s="10">
        <f t="shared" ref="X68:X138" si="26">COUNT($DU68:$EL68)</f>
        <v>13</v>
      </c>
      <c r="Y68" s="10">
        <f t="shared" ref="Y68:Y138" si="27">MIN($DU68:$DX68)</f>
        <v>34600000000</v>
      </c>
      <c r="Z68" s="10">
        <f t="shared" ref="Z68:Z138" si="28">MAX($DU68:$DX68)</f>
        <v>34600000000</v>
      </c>
      <c r="AA68" s="10">
        <f t="shared" ref="AA68:AA138" si="29">COUNT($DU68:$DX68)</f>
        <v>1</v>
      </c>
      <c r="AB68" s="10">
        <f t="shared" ref="AB68:AB138" si="30">MIN($DY68:$EL68)</f>
        <v>34600000000</v>
      </c>
      <c r="AC68" s="10">
        <f t="shared" ref="AC68:AC138" si="31">MAX($DY68:$EL68)</f>
        <v>34600000000</v>
      </c>
      <c r="AD68" s="10">
        <f t="shared" ref="AD68:AD138" si="32">COUNT($DY68:$EL68)</f>
        <v>12</v>
      </c>
      <c r="AE68" t="s">
        <v>170</v>
      </c>
      <c r="AF68" s="26"/>
      <c r="AG68" s="26"/>
      <c r="AH68" s="26"/>
      <c r="AI68" s="26"/>
      <c r="AJ68" s="26"/>
      <c r="AK68" s="26"/>
      <c r="AL68" s="26">
        <v>105000000000</v>
      </c>
      <c r="AM68" s="26">
        <v>105000000000</v>
      </c>
      <c r="AN68" s="26">
        <v>105000000000</v>
      </c>
      <c r="AO68" s="26">
        <v>105000000000</v>
      </c>
      <c r="AP68" s="26">
        <v>102499999744</v>
      </c>
      <c r="AQ68" s="26">
        <v>102499999744</v>
      </c>
      <c r="AR68" s="26">
        <v>102499999744</v>
      </c>
      <c r="AS68" s="26">
        <v>102499999744</v>
      </c>
      <c r="AT68" s="26">
        <v>102499999744</v>
      </c>
      <c r="AU68" s="26"/>
      <c r="AV68" s="26">
        <v>102499999744</v>
      </c>
      <c r="AW68" s="26"/>
      <c r="AX68" s="26"/>
      <c r="AY68" s="26"/>
      <c r="AZ68" s="26"/>
      <c r="BA68" s="26"/>
      <c r="BB68" s="26">
        <v>102499999744</v>
      </c>
      <c r="BC68" s="26"/>
      <c r="BD68" s="26"/>
      <c r="BE68" s="26"/>
      <c r="BF68" s="26"/>
      <c r="BG68" s="26"/>
      <c r="BH68" s="26"/>
      <c r="BI68" s="26">
        <v>102499999744</v>
      </c>
      <c r="BJ68" s="26">
        <v>102499999744</v>
      </c>
      <c r="BK68" s="26">
        <v>102499999744</v>
      </c>
      <c r="BL68" s="26"/>
      <c r="BM68" s="26">
        <v>32700000000</v>
      </c>
      <c r="BN68" s="26">
        <v>32700000000</v>
      </c>
      <c r="BO68" s="26"/>
      <c r="BP68" s="26">
        <v>32700000000</v>
      </c>
      <c r="BQ68" s="26">
        <v>32700000000</v>
      </c>
      <c r="BR68" s="26">
        <v>32700000000</v>
      </c>
      <c r="BS68" s="26">
        <v>32700000000</v>
      </c>
      <c r="BT68" s="26">
        <v>32700000000</v>
      </c>
      <c r="BU68" s="26">
        <v>32700000000</v>
      </c>
      <c r="BV68" s="26">
        <v>32700000000</v>
      </c>
      <c r="BW68" s="26">
        <v>32700000000</v>
      </c>
      <c r="BX68" s="26">
        <v>32700000000</v>
      </c>
      <c r="BY68" s="26">
        <v>32700000000</v>
      </c>
      <c r="BZ68" s="26">
        <v>32700000000</v>
      </c>
      <c r="CA68" s="26">
        <v>32700000000</v>
      </c>
      <c r="CB68" s="26">
        <v>32700000000</v>
      </c>
      <c r="CC68" s="26">
        <v>32700000000</v>
      </c>
      <c r="CD68" s="26">
        <v>32700000000</v>
      </c>
      <c r="CE68" s="26">
        <v>32700000000</v>
      </c>
      <c r="CF68" s="26">
        <v>32700000000</v>
      </c>
      <c r="CG68" s="26"/>
      <c r="CH68" s="26"/>
      <c r="CI68" s="26"/>
      <c r="CJ68" s="26"/>
      <c r="CK68" s="26"/>
      <c r="CL68" s="26"/>
      <c r="CM68" s="26"/>
      <c r="CN68" s="26"/>
      <c r="CO68" s="26"/>
      <c r="CP68" s="26">
        <v>34600000000</v>
      </c>
      <c r="CQ68" s="26">
        <v>34600000000</v>
      </c>
      <c r="CR68" s="26">
        <v>34600000000</v>
      </c>
      <c r="CS68" s="26">
        <v>34600000000</v>
      </c>
      <c r="CT68" s="26">
        <v>34600000000</v>
      </c>
      <c r="CU68" s="26">
        <v>34600000000</v>
      </c>
      <c r="CV68" s="26">
        <v>34600000000</v>
      </c>
      <c r="CW68" s="26">
        <v>34600000000</v>
      </c>
      <c r="CX68" s="26">
        <v>34600000000</v>
      </c>
      <c r="CY68" s="26">
        <v>34600000000</v>
      </c>
      <c r="CZ68" s="26">
        <v>34600000000</v>
      </c>
      <c r="DA68" s="26">
        <v>34600000000</v>
      </c>
      <c r="DB68" s="26">
        <v>34600000000</v>
      </c>
      <c r="DC68" s="26"/>
      <c r="DD68" s="26">
        <v>34600000000</v>
      </c>
      <c r="DE68" s="26">
        <v>34600000000</v>
      </c>
      <c r="DF68" s="26"/>
      <c r="DG68" s="26"/>
      <c r="DH68" s="26">
        <v>34600000000</v>
      </c>
      <c r="DI68" s="26">
        <v>34600000000</v>
      </c>
      <c r="DJ68" s="26">
        <v>34600000000</v>
      </c>
      <c r="DK68" s="26">
        <v>34600000000</v>
      </c>
      <c r="DL68" s="26">
        <v>34600000000</v>
      </c>
      <c r="DM68" s="26">
        <v>34600000000</v>
      </c>
      <c r="DN68" s="26">
        <v>34600000000</v>
      </c>
      <c r="DO68" s="26">
        <v>34600000000</v>
      </c>
      <c r="DP68" s="26">
        <v>34600000000</v>
      </c>
      <c r="DQ68" s="26">
        <v>34600000000</v>
      </c>
      <c r="DR68" s="26">
        <v>34600000000</v>
      </c>
      <c r="DS68" s="26">
        <v>34600000000</v>
      </c>
      <c r="DT68" s="26"/>
      <c r="DU68" s="26"/>
      <c r="DV68" s="26">
        <v>34600000000</v>
      </c>
      <c r="DW68" s="26"/>
      <c r="DX68" s="26"/>
      <c r="DY68" s="26">
        <v>34600000000</v>
      </c>
      <c r="DZ68" s="26">
        <v>34600000000</v>
      </c>
      <c r="EA68" s="26">
        <v>34600000000</v>
      </c>
      <c r="EB68" s="26">
        <v>34600000000</v>
      </c>
      <c r="EC68" s="26">
        <v>34600000000</v>
      </c>
      <c r="ED68" s="26">
        <v>34600000000</v>
      </c>
      <c r="EE68" s="26">
        <v>34600000000</v>
      </c>
      <c r="EF68" s="26">
        <v>34600000000</v>
      </c>
      <c r="EG68" s="26">
        <v>34600000000</v>
      </c>
      <c r="EH68" s="26"/>
      <c r="EI68" s="26">
        <v>34600000000</v>
      </c>
      <c r="EJ68" s="26">
        <v>34600000000</v>
      </c>
      <c r="EK68" s="26"/>
      <c r="EL68" s="26">
        <v>34600000000</v>
      </c>
      <c r="EM68" s="26">
        <v>34600000000</v>
      </c>
      <c r="EN68" s="26">
        <v>34600000000</v>
      </c>
      <c r="EO68" s="26">
        <v>34600000000</v>
      </c>
      <c r="EP68" s="26">
        <v>34600000000</v>
      </c>
      <c r="EQ68" s="26">
        <v>34600000000</v>
      </c>
      <c r="ER68" s="26">
        <v>34600000000</v>
      </c>
      <c r="ES68" s="26">
        <v>34600000000</v>
      </c>
      <c r="ET68" s="26">
        <v>34600000000</v>
      </c>
      <c r="EU68" s="26">
        <v>34600000000</v>
      </c>
      <c r="EV68" s="26">
        <v>34600000000</v>
      </c>
      <c r="EW68" s="26">
        <v>34600000000</v>
      </c>
      <c r="EX68" s="26">
        <v>34600000000</v>
      </c>
      <c r="EY68" s="26">
        <v>34600000000</v>
      </c>
      <c r="EZ68" s="26">
        <v>34600000000</v>
      </c>
      <c r="FA68" s="26">
        <v>34600000000</v>
      </c>
      <c r="FB68" s="26">
        <v>34600000000</v>
      </c>
      <c r="FC68" s="26">
        <v>34600000000</v>
      </c>
      <c r="FD68" s="26">
        <v>34600000000</v>
      </c>
      <c r="FE68" s="26">
        <v>34600000000</v>
      </c>
      <c r="FF68" s="26">
        <v>34600000000</v>
      </c>
      <c r="FG68" s="26">
        <v>34600000000</v>
      </c>
      <c r="FH68" s="26">
        <v>34600000000</v>
      </c>
      <c r="FI68" s="26"/>
      <c r="FJ68" s="26">
        <v>34600000000</v>
      </c>
      <c r="FK68" s="26">
        <v>34600000000</v>
      </c>
    </row>
    <row r="69" spans="3:167" x14ac:dyDescent="0.2">
      <c r="C69" s="10">
        <f t="shared" ref="C69:C139" si="33">MIN(AF69:EL69)</f>
        <v>3.6403873925701512E-2</v>
      </c>
      <c r="D69" s="10">
        <f t="shared" ref="D69:D139" si="34">MAX(AF69:EL69)</f>
        <v>0.11689317315592229</v>
      </c>
      <c r="E69" s="10" cm="1">
        <f t="array" ref="E69">gavg(AF69,EL69)</f>
        <v>9.0911421272920137E-2</v>
      </c>
      <c r="F69" s="10" cm="1">
        <f t="array" ref="F69">lnstdev(AF69,EL69)</f>
        <v>0.44113554167156227</v>
      </c>
      <c r="G69" s="10">
        <f t="shared" ref="G69:G139" si="35">COUNT(AF69:EL69)</f>
        <v>73</v>
      </c>
      <c r="H69" s="10">
        <f t="shared" ref="H69:H139" si="36">MIN(AF69:AO69)</f>
        <v>3.6403873925701512E-2</v>
      </c>
      <c r="I69" s="10">
        <f t="shared" ref="I69:I139" si="37">MAX(AF69:AO69)</f>
        <v>3.6403873925701512E-2</v>
      </c>
      <c r="J69" s="10"/>
      <c r="K69" s="10"/>
      <c r="L69" s="10">
        <f t="shared" ref="L69:L139" si="38">COUNT(AF69:AO69)</f>
        <v>4</v>
      </c>
      <c r="M69" s="10">
        <f t="shared" ref="M69:M139" si="39">MIN(AP69:BL69)</f>
        <v>3.7291773382881491E-2</v>
      </c>
      <c r="N69" s="10">
        <f t="shared" ref="N69:N139" si="40">MAX(AP69:BL69)</f>
        <v>3.7291773382881491E-2</v>
      </c>
      <c r="O69" s="10">
        <f t="shared" ref="O69:O139" si="41">COUNT(AP69:BL69)</f>
        <v>10</v>
      </c>
      <c r="P69" s="10">
        <f t="shared" ref="P69:P139" si="42">MIN(BM69:CO69)</f>
        <v>0.11689317315592229</v>
      </c>
      <c r="Q69" s="10">
        <f t="shared" ref="Q69:Q139" si="43">MAX(BM69:CO69)</f>
        <v>0.11689317315592229</v>
      </c>
      <c r="R69" s="10">
        <f t="shared" ref="R69:R139" si="44">COUNT(BM69:CO69)</f>
        <v>19</v>
      </c>
      <c r="S69" s="10">
        <f t="shared" ref="S69:S139" si="45">MIN(CP69:DT69)</f>
        <v>0.11047418387857395</v>
      </c>
      <c r="T69" s="10">
        <f t="shared" ref="T69:T139" si="46">MAX(CP69:DT69)</f>
        <v>0.11047418387857395</v>
      </c>
      <c r="U69" s="10">
        <f t="shared" ref="U69:U139" si="47">COUNT(CP69:DT69)</f>
        <v>27</v>
      </c>
      <c r="V69" s="10">
        <f t="shared" si="24"/>
        <v>0.11047418387857395</v>
      </c>
      <c r="W69" s="10">
        <f t="shared" si="25"/>
        <v>0.11047418387857395</v>
      </c>
      <c r="X69" s="10">
        <f t="shared" si="26"/>
        <v>13</v>
      </c>
      <c r="Y69" s="10">
        <f t="shared" si="27"/>
        <v>0.11047418387857395</v>
      </c>
      <c r="Z69" s="10">
        <f t="shared" si="28"/>
        <v>0.11047418387857395</v>
      </c>
      <c r="AA69" s="10">
        <f t="shared" si="29"/>
        <v>1</v>
      </c>
      <c r="AB69" s="10">
        <f t="shared" si="30"/>
        <v>0.11047418387857395</v>
      </c>
      <c r="AC69" s="10">
        <f t="shared" si="31"/>
        <v>0.11047418387857395</v>
      </c>
      <c r="AD69" s="10">
        <f t="shared" si="32"/>
        <v>12</v>
      </c>
      <c r="AE69" t="s">
        <v>163</v>
      </c>
      <c r="AF69" s="26"/>
      <c r="AG69" s="26"/>
      <c r="AH69" s="26"/>
      <c r="AI69" s="26"/>
      <c r="AJ69" s="26"/>
      <c r="AK69" s="26"/>
      <c r="AL69" s="26">
        <v>3.6403873925701512E-2</v>
      </c>
      <c r="AM69" s="26">
        <v>3.6403873925701512E-2</v>
      </c>
      <c r="AN69" s="26">
        <v>3.6403873925701512E-2</v>
      </c>
      <c r="AO69" s="26">
        <v>3.6403873925701512E-2</v>
      </c>
      <c r="AP69" s="26">
        <v>3.7291773382881491E-2</v>
      </c>
      <c r="AQ69" s="26">
        <v>3.7291773382881491E-2</v>
      </c>
      <c r="AR69" s="26">
        <v>3.7291773382881491E-2</v>
      </c>
      <c r="AS69" s="26">
        <v>3.7291773382881491E-2</v>
      </c>
      <c r="AT69" s="26">
        <v>3.7291773382881491E-2</v>
      </c>
      <c r="AU69" s="26"/>
      <c r="AV69" s="26">
        <v>3.7291773382881491E-2</v>
      </c>
      <c r="AW69" s="26"/>
      <c r="AX69" s="26"/>
      <c r="AY69" s="26"/>
      <c r="AZ69" s="26"/>
      <c r="BA69" s="26"/>
      <c r="BB69" s="26">
        <v>3.7291773382881491E-2</v>
      </c>
      <c r="BC69" s="26"/>
      <c r="BD69" s="26"/>
      <c r="BE69" s="26"/>
      <c r="BF69" s="26"/>
      <c r="BG69" s="26"/>
      <c r="BH69" s="26"/>
      <c r="BI69" s="26">
        <v>3.7291773382881491E-2</v>
      </c>
      <c r="BJ69" s="26">
        <v>3.7291773382881491E-2</v>
      </c>
      <c r="BK69" s="26">
        <v>3.7291773382881491E-2</v>
      </c>
      <c r="BL69" s="26"/>
      <c r="BM69" s="26">
        <v>0.11689317315592229</v>
      </c>
      <c r="BN69" s="26">
        <v>0.11689317315592229</v>
      </c>
      <c r="BO69" s="26"/>
      <c r="BP69" s="26">
        <v>0.11689317315592229</v>
      </c>
      <c r="BQ69" s="26">
        <v>0.11689317315592229</v>
      </c>
      <c r="BR69" s="26">
        <v>0.11689317315592229</v>
      </c>
      <c r="BS69" s="26">
        <v>0.11689317315592229</v>
      </c>
      <c r="BT69" s="26">
        <v>0.11689317315592229</v>
      </c>
      <c r="BU69" s="26">
        <v>0.11689317315592229</v>
      </c>
      <c r="BV69" s="26">
        <v>0.11689317315592229</v>
      </c>
      <c r="BW69" s="26">
        <v>0.11689317315592229</v>
      </c>
      <c r="BX69" s="26">
        <v>0.11689317315592229</v>
      </c>
      <c r="BY69" s="26">
        <v>0.11689317315592229</v>
      </c>
      <c r="BZ69" s="26">
        <v>0.11689317315592229</v>
      </c>
      <c r="CA69" s="26">
        <v>0.11689317315592229</v>
      </c>
      <c r="CB69" s="26">
        <v>0.11689317315592229</v>
      </c>
      <c r="CC69" s="26">
        <v>0.11689317315592229</v>
      </c>
      <c r="CD69" s="26">
        <v>0.11689317315592229</v>
      </c>
      <c r="CE69" s="26">
        <v>0.11689317315592229</v>
      </c>
      <c r="CF69" s="26">
        <v>0.11689317315592229</v>
      </c>
      <c r="CG69" s="26"/>
      <c r="CH69" s="26"/>
      <c r="CI69" s="26"/>
      <c r="CJ69" s="26"/>
      <c r="CK69" s="26"/>
      <c r="CL69" s="26"/>
      <c r="CM69" s="26"/>
      <c r="CN69" s="26"/>
      <c r="CO69" s="26"/>
      <c r="CP69" s="26">
        <v>0.11047418387857395</v>
      </c>
      <c r="CQ69" s="26">
        <v>0.11047418387857395</v>
      </c>
      <c r="CR69" s="26">
        <v>0.11047418387857395</v>
      </c>
      <c r="CS69" s="26">
        <v>0.11047418387857395</v>
      </c>
      <c r="CT69" s="26">
        <v>0.11047418387857395</v>
      </c>
      <c r="CU69" s="26">
        <v>0.11047418387857395</v>
      </c>
      <c r="CV69" s="26">
        <v>0.11047418387857395</v>
      </c>
      <c r="CW69" s="26">
        <v>0.11047418387857395</v>
      </c>
      <c r="CX69" s="26">
        <v>0.11047418387857395</v>
      </c>
      <c r="CY69" s="26">
        <v>0.11047418387857395</v>
      </c>
      <c r="CZ69" s="26">
        <v>0.11047418387857395</v>
      </c>
      <c r="DA69" s="26">
        <v>0.11047418387857395</v>
      </c>
      <c r="DB69" s="26">
        <v>0.11047418387857395</v>
      </c>
      <c r="DC69" s="26"/>
      <c r="DD69" s="26">
        <v>0.11047418387857395</v>
      </c>
      <c r="DE69" s="26">
        <v>0.11047418387857395</v>
      </c>
      <c r="DF69" s="26"/>
      <c r="DG69" s="26"/>
      <c r="DH69" s="26">
        <v>0.11047418387857395</v>
      </c>
      <c r="DI69" s="26">
        <v>0.11047418387857395</v>
      </c>
      <c r="DJ69" s="26">
        <v>0.11047418387857395</v>
      </c>
      <c r="DK69" s="26">
        <v>0.11047418387857395</v>
      </c>
      <c r="DL69" s="26">
        <v>0.11047418387857395</v>
      </c>
      <c r="DM69" s="26">
        <v>0.11047418387857395</v>
      </c>
      <c r="DN69" s="26">
        <v>0.11047418387857395</v>
      </c>
      <c r="DO69" s="26">
        <v>0.11047418387857395</v>
      </c>
      <c r="DP69" s="26">
        <v>0.11047418387857395</v>
      </c>
      <c r="DQ69" s="26">
        <v>0.11047418387857395</v>
      </c>
      <c r="DR69" s="26">
        <v>0.11047418387857395</v>
      </c>
      <c r="DS69" s="26">
        <v>0.11047418387857395</v>
      </c>
      <c r="DT69" s="26"/>
      <c r="DU69" s="26"/>
      <c r="DV69" s="26">
        <v>0.11047418387857395</v>
      </c>
      <c r="DW69" s="26"/>
      <c r="DX69" s="26"/>
      <c r="DY69" s="26">
        <v>0.11047418387857395</v>
      </c>
      <c r="DZ69" s="26">
        <v>0.11047418387857395</v>
      </c>
      <c r="EA69" s="26">
        <v>0.11047418387857395</v>
      </c>
      <c r="EB69" s="26">
        <v>0.11047418387857395</v>
      </c>
      <c r="EC69" s="26">
        <v>0.11047418387857395</v>
      </c>
      <c r="ED69" s="26">
        <v>0.11047418387857395</v>
      </c>
      <c r="EE69" s="26">
        <v>0.11047418387857395</v>
      </c>
      <c r="EF69" s="26">
        <v>0.11047418387857395</v>
      </c>
      <c r="EG69" s="26">
        <v>0.11047418387857395</v>
      </c>
      <c r="EH69" s="26"/>
      <c r="EI69" s="26">
        <v>0.11047418387857395</v>
      </c>
      <c r="EJ69" s="26">
        <v>0.11047418387857395</v>
      </c>
      <c r="EK69" s="26"/>
      <c r="EL69" s="26">
        <v>0.11047418387857395</v>
      </c>
      <c r="EM69" s="26">
        <v>0.11047418387857395</v>
      </c>
      <c r="EN69" s="26">
        <v>0.11047418387857395</v>
      </c>
      <c r="EO69" s="26">
        <v>0.11047418387857395</v>
      </c>
      <c r="EP69" s="26">
        <v>0.11047418387857395</v>
      </c>
      <c r="EQ69" s="26">
        <v>0.11047418387857395</v>
      </c>
      <c r="ER69" s="26">
        <v>0.11047418387857395</v>
      </c>
      <c r="ES69" s="26">
        <v>0.11047418387857395</v>
      </c>
      <c r="ET69" s="26">
        <v>0.11047418387857395</v>
      </c>
      <c r="EU69" s="26">
        <v>0.11047418387857395</v>
      </c>
      <c r="EV69" s="26">
        <v>0.11047418387857395</v>
      </c>
      <c r="EW69" s="26">
        <v>0.11047418387857395</v>
      </c>
      <c r="EX69" s="26">
        <v>0.11047418387857395</v>
      </c>
      <c r="EY69" s="26">
        <v>0.11047418387857395</v>
      </c>
      <c r="EZ69" s="26">
        <v>0.11047418387857395</v>
      </c>
      <c r="FA69" s="26">
        <v>0.11047418387857395</v>
      </c>
      <c r="FB69" s="26">
        <v>0.11047418387857395</v>
      </c>
      <c r="FC69" s="26">
        <v>0.11047418387857395</v>
      </c>
      <c r="FD69" s="26">
        <v>0.11047418387857395</v>
      </c>
      <c r="FE69" s="26">
        <v>0.11047418387857395</v>
      </c>
      <c r="FF69" s="26">
        <v>0.11047418387857395</v>
      </c>
      <c r="FG69" s="26">
        <v>0.11047418387857395</v>
      </c>
      <c r="FH69" s="26">
        <v>0.11047418387857395</v>
      </c>
      <c r="FI69" s="26"/>
      <c r="FJ69" s="26">
        <v>0.11047418387857395</v>
      </c>
      <c r="FK69" s="26">
        <v>0.11047418387857395</v>
      </c>
    </row>
    <row r="70" spans="3:167" x14ac:dyDescent="0.2">
      <c r="C70" s="10">
        <f t="shared" si="33"/>
        <v>0.11309733552923255</v>
      </c>
      <c r="D70" s="10">
        <f t="shared" si="34"/>
        <v>5.026548245743669</v>
      </c>
      <c r="E70" s="10" cm="1">
        <f t="array" ref="E70">gavg(AF70,EL70)</f>
        <v>0.56183916508940823</v>
      </c>
      <c r="F70" s="10" cm="1">
        <f t="array" ref="F70">lnstdev(AF70,EL70)</f>
        <v>1.2729664174572055</v>
      </c>
      <c r="G70" s="10">
        <f t="shared" si="35"/>
        <v>73</v>
      </c>
      <c r="H70" s="10">
        <f t="shared" si="36"/>
        <v>0.83468980334023346</v>
      </c>
      <c r="I70" s="10">
        <f t="shared" si="37"/>
        <v>0.83468980334023346</v>
      </c>
      <c r="J70" s="10"/>
      <c r="K70" s="10"/>
      <c r="L70" s="10">
        <f t="shared" si="38"/>
        <v>4</v>
      </c>
      <c r="M70" s="10">
        <f t="shared" si="39"/>
        <v>0.31415925131496591</v>
      </c>
      <c r="N70" s="10">
        <f t="shared" si="40"/>
        <v>0.31415925131496591</v>
      </c>
      <c r="O70" s="10">
        <f t="shared" si="41"/>
        <v>10</v>
      </c>
      <c r="P70" s="10">
        <f t="shared" si="42"/>
        <v>0.11309733552923255</v>
      </c>
      <c r="Q70" s="10">
        <f t="shared" si="43"/>
        <v>0.11309733552923255</v>
      </c>
      <c r="R70" s="10">
        <f t="shared" si="44"/>
        <v>19</v>
      </c>
      <c r="S70" s="10">
        <f t="shared" si="45"/>
        <v>0.70685834705770345</v>
      </c>
      <c r="T70" s="10">
        <f t="shared" si="46"/>
        <v>0.70685834705770345</v>
      </c>
      <c r="U70" s="10">
        <f t="shared" si="47"/>
        <v>27</v>
      </c>
      <c r="V70" s="10">
        <f t="shared" si="24"/>
        <v>5.026548245743669</v>
      </c>
      <c r="W70" s="10">
        <f t="shared" si="25"/>
        <v>5.026548245743669</v>
      </c>
      <c r="X70" s="10">
        <f t="shared" si="26"/>
        <v>13</v>
      </c>
      <c r="Y70" s="10">
        <f t="shared" si="27"/>
        <v>5.026548245743669</v>
      </c>
      <c r="Z70" s="10">
        <f t="shared" si="28"/>
        <v>5.026548245743669</v>
      </c>
      <c r="AA70" s="10">
        <f t="shared" si="29"/>
        <v>1</v>
      </c>
      <c r="AB70" s="10">
        <f t="shared" si="30"/>
        <v>5.026548245743669</v>
      </c>
      <c r="AC70" s="10">
        <f t="shared" si="31"/>
        <v>5.026548245743669</v>
      </c>
      <c r="AD70" s="10">
        <f t="shared" si="32"/>
        <v>12</v>
      </c>
      <c r="AE70" t="s">
        <v>153</v>
      </c>
      <c r="AF70" s="26"/>
      <c r="AG70" s="26"/>
      <c r="AH70" s="26"/>
      <c r="AI70" s="26"/>
      <c r="AJ70" s="26"/>
      <c r="AK70" s="26"/>
      <c r="AL70" s="26">
        <v>0.83468980334023346</v>
      </c>
      <c r="AM70" s="26">
        <v>0.83468980334023346</v>
      </c>
      <c r="AN70" s="26">
        <v>0.83468980334023346</v>
      </c>
      <c r="AO70" s="26">
        <v>0.83468980334023346</v>
      </c>
      <c r="AP70" s="26">
        <v>0.31415925131496591</v>
      </c>
      <c r="AQ70" s="26">
        <v>0.31415925131496591</v>
      </c>
      <c r="AR70" s="26">
        <v>0.31415925131496591</v>
      </c>
      <c r="AS70" s="26">
        <v>0.31415925131496591</v>
      </c>
      <c r="AT70" s="26">
        <v>0.31415925131496591</v>
      </c>
      <c r="AU70" s="26"/>
      <c r="AV70" s="26">
        <v>0.31415925131496591</v>
      </c>
      <c r="AW70" s="26"/>
      <c r="AX70" s="26"/>
      <c r="AY70" s="26"/>
      <c r="AZ70" s="26"/>
      <c r="BA70" s="26"/>
      <c r="BB70" s="26">
        <v>0.31415925131496591</v>
      </c>
      <c r="BC70" s="26"/>
      <c r="BD70" s="26"/>
      <c r="BE70" s="26"/>
      <c r="BF70" s="26"/>
      <c r="BG70" s="26"/>
      <c r="BH70" s="26"/>
      <c r="BI70" s="26">
        <v>0.31415925131496591</v>
      </c>
      <c r="BJ70" s="26">
        <v>0.31415925131496591</v>
      </c>
      <c r="BK70" s="26">
        <v>0.31415925131496591</v>
      </c>
      <c r="BL70" s="26"/>
      <c r="BM70" s="26">
        <v>0.11309733552923255</v>
      </c>
      <c r="BN70" s="26">
        <v>0.11309733552923255</v>
      </c>
      <c r="BO70" s="26"/>
      <c r="BP70" s="26">
        <v>0.11309733552923255</v>
      </c>
      <c r="BQ70" s="26">
        <v>0.11309733552923255</v>
      </c>
      <c r="BR70" s="26">
        <v>0.11309733552923255</v>
      </c>
      <c r="BS70" s="26">
        <v>0.11309733552923255</v>
      </c>
      <c r="BT70" s="26">
        <v>0.11309733552923255</v>
      </c>
      <c r="BU70" s="26">
        <v>0.11309733552923255</v>
      </c>
      <c r="BV70" s="26">
        <v>0.11309733552923255</v>
      </c>
      <c r="BW70" s="26">
        <v>0.11309733552923255</v>
      </c>
      <c r="BX70" s="26">
        <v>0.11309733552923255</v>
      </c>
      <c r="BY70" s="26">
        <v>0.11309733552923255</v>
      </c>
      <c r="BZ70" s="26">
        <v>0.11309733552923255</v>
      </c>
      <c r="CA70" s="26">
        <v>0.11309733552923255</v>
      </c>
      <c r="CB70" s="26">
        <v>0.11309733552923255</v>
      </c>
      <c r="CC70" s="26">
        <v>0.11309733552923255</v>
      </c>
      <c r="CD70" s="26">
        <v>0.11309733552923255</v>
      </c>
      <c r="CE70" s="26">
        <v>0.11309733552923255</v>
      </c>
      <c r="CF70" s="26">
        <v>0.11309733552923255</v>
      </c>
      <c r="CG70" s="26"/>
      <c r="CH70" s="26"/>
      <c r="CI70" s="26"/>
      <c r="CJ70" s="26"/>
      <c r="CK70" s="26"/>
      <c r="CL70" s="26"/>
      <c r="CM70" s="26"/>
      <c r="CN70" s="26"/>
      <c r="CO70" s="26"/>
      <c r="CP70" s="26">
        <v>0.70685834705770345</v>
      </c>
      <c r="CQ70" s="26">
        <v>0.70685834705770345</v>
      </c>
      <c r="CR70" s="26">
        <v>0.70685834705770345</v>
      </c>
      <c r="CS70" s="26">
        <v>0.70685834705770345</v>
      </c>
      <c r="CT70" s="26">
        <v>0.70685834705770345</v>
      </c>
      <c r="CU70" s="26">
        <v>0.70685834705770345</v>
      </c>
      <c r="CV70" s="26">
        <v>0.70685834705770345</v>
      </c>
      <c r="CW70" s="26">
        <v>0.70685834705770345</v>
      </c>
      <c r="CX70" s="26">
        <v>0.70685834705770345</v>
      </c>
      <c r="CY70" s="26">
        <v>0.70685834705770345</v>
      </c>
      <c r="CZ70" s="26">
        <v>0.70685834705770345</v>
      </c>
      <c r="DA70" s="26">
        <v>0.70685834705770345</v>
      </c>
      <c r="DB70" s="26">
        <v>0.70685834705770345</v>
      </c>
      <c r="DC70" s="26"/>
      <c r="DD70" s="26">
        <v>0.70685834705770345</v>
      </c>
      <c r="DE70" s="26">
        <v>0.70685834705770345</v>
      </c>
      <c r="DF70" s="26"/>
      <c r="DG70" s="26"/>
      <c r="DH70" s="26">
        <v>0.70685834705770345</v>
      </c>
      <c r="DI70" s="26">
        <v>0.70685834705770345</v>
      </c>
      <c r="DJ70" s="26">
        <v>0.70685834705770345</v>
      </c>
      <c r="DK70" s="26">
        <v>0.70685834705770345</v>
      </c>
      <c r="DL70" s="26">
        <v>0.70685834705770345</v>
      </c>
      <c r="DM70" s="26">
        <v>0.70685834705770345</v>
      </c>
      <c r="DN70" s="26">
        <v>0.70685834705770345</v>
      </c>
      <c r="DO70" s="26">
        <v>0.70685834705770345</v>
      </c>
      <c r="DP70" s="26">
        <v>0.70685834705770345</v>
      </c>
      <c r="DQ70" s="26">
        <v>0.70685834705770345</v>
      </c>
      <c r="DR70" s="26">
        <v>0.70685834705770345</v>
      </c>
      <c r="DS70" s="26">
        <v>0.70685834705770345</v>
      </c>
      <c r="DT70" s="26"/>
      <c r="DU70" s="26"/>
      <c r="DV70" s="26">
        <v>5.026548245743669</v>
      </c>
      <c r="DW70" s="26"/>
      <c r="DX70" s="26"/>
      <c r="DY70" s="26">
        <v>5.026548245743669</v>
      </c>
      <c r="DZ70" s="26">
        <v>5.026548245743669</v>
      </c>
      <c r="EA70" s="26">
        <v>5.026548245743669</v>
      </c>
      <c r="EB70" s="26">
        <v>5.026548245743669</v>
      </c>
      <c r="EC70" s="26">
        <v>5.026548245743669</v>
      </c>
      <c r="ED70" s="26">
        <v>5.026548245743669</v>
      </c>
      <c r="EE70" s="26">
        <v>5.026548245743669</v>
      </c>
      <c r="EF70" s="26">
        <v>5.026548245743669</v>
      </c>
      <c r="EG70" s="26">
        <v>5.026548245743669</v>
      </c>
      <c r="EH70" s="26"/>
      <c r="EI70" s="26">
        <v>5.026548245743669</v>
      </c>
      <c r="EJ70" s="26">
        <v>5.026548245743669</v>
      </c>
      <c r="EK70" s="26"/>
      <c r="EL70" s="26">
        <v>5.026548245743669</v>
      </c>
      <c r="EM70" s="26">
        <v>5.026548245743669</v>
      </c>
      <c r="EN70" s="26">
        <v>5.026548245743669</v>
      </c>
      <c r="EO70" s="26">
        <v>5.026548245743669</v>
      </c>
      <c r="EP70" s="26">
        <v>5.026548245743669</v>
      </c>
      <c r="EQ70" s="26">
        <v>5.026548245743669</v>
      </c>
      <c r="ER70" s="26">
        <v>5.026548245743669</v>
      </c>
      <c r="ES70" s="26">
        <v>5.026548245743669</v>
      </c>
      <c r="ET70" s="26">
        <v>5.026548245743669</v>
      </c>
      <c r="EU70" s="26">
        <v>5.026548245743669</v>
      </c>
      <c r="EV70" s="26">
        <v>5.026548245743669</v>
      </c>
      <c r="EW70" s="26">
        <v>5.026548245743669</v>
      </c>
      <c r="EX70" s="26">
        <v>5.026548245743669</v>
      </c>
      <c r="EY70" s="26">
        <v>5.026548245743669</v>
      </c>
      <c r="EZ70" s="26">
        <v>5.026548245743669</v>
      </c>
      <c r="FA70" s="26">
        <v>5.026548245743669</v>
      </c>
      <c r="FB70" s="26">
        <v>5.026548245743669</v>
      </c>
      <c r="FC70" s="26">
        <v>5.026548245743669</v>
      </c>
      <c r="FD70" s="26">
        <v>5.026548245743669</v>
      </c>
      <c r="FE70" s="26">
        <v>5.026548245743669</v>
      </c>
      <c r="FF70" s="26">
        <v>5.026548245743669</v>
      </c>
      <c r="FG70" s="26">
        <v>5.026548245743669</v>
      </c>
      <c r="FH70" s="26">
        <v>5.026548245743669</v>
      </c>
      <c r="FI70" s="26"/>
      <c r="FJ70" s="26">
        <v>5.026548245743669</v>
      </c>
      <c r="FK70" s="26">
        <v>5.026548245743669</v>
      </c>
    </row>
    <row r="71" spans="3:167" x14ac:dyDescent="0.2">
      <c r="C71" s="10">
        <f t="shared" si="33"/>
        <v>0.31009733552923258</v>
      </c>
      <c r="D71" s="10">
        <f t="shared" si="34"/>
        <v>10.734548245743669</v>
      </c>
      <c r="E71" s="10" cm="1">
        <f t="array" ref="E71">gavg(AF71,EL71)</f>
        <v>1.4528585502252616</v>
      </c>
      <c r="F71" s="10" cm="1">
        <f t="array" ref="F71">lnstdev(AF71,EL71)</f>
        <v>1.1797268738151743</v>
      </c>
      <c r="G71" s="10">
        <f t="shared" si="35"/>
        <v>73</v>
      </c>
      <c r="H71" s="10">
        <f t="shared" si="36"/>
        <v>1.9816898033402335</v>
      </c>
      <c r="I71" s="10">
        <f t="shared" si="37"/>
        <v>1.9816898033402335</v>
      </c>
      <c r="J71" s="10"/>
      <c r="K71" s="10"/>
      <c r="L71" s="10">
        <f t="shared" si="38"/>
        <v>4</v>
      </c>
      <c r="M71" s="10">
        <f t="shared" si="39"/>
        <v>1.0131398833231209</v>
      </c>
      <c r="N71" s="10">
        <f t="shared" si="40"/>
        <v>1.0131398833231209</v>
      </c>
      <c r="O71" s="10">
        <f t="shared" si="41"/>
        <v>10</v>
      </c>
      <c r="P71" s="10">
        <f t="shared" si="42"/>
        <v>0.31009733552923258</v>
      </c>
      <c r="Q71" s="10">
        <f t="shared" si="43"/>
        <v>0.31009733552923258</v>
      </c>
      <c r="R71" s="10">
        <f t="shared" si="44"/>
        <v>19</v>
      </c>
      <c r="S71" s="10">
        <f t="shared" si="45"/>
        <v>1.7948583470577035</v>
      </c>
      <c r="T71" s="10">
        <f t="shared" si="46"/>
        <v>1.7948583470577035</v>
      </c>
      <c r="U71" s="10">
        <f t="shared" si="47"/>
        <v>27</v>
      </c>
      <c r="V71" s="10">
        <f t="shared" si="24"/>
        <v>10.734548245743669</v>
      </c>
      <c r="W71" s="10">
        <f t="shared" si="25"/>
        <v>10.734548245743669</v>
      </c>
      <c r="X71" s="10">
        <f t="shared" si="26"/>
        <v>13</v>
      </c>
      <c r="Y71" s="10">
        <f t="shared" si="27"/>
        <v>10.734548245743669</v>
      </c>
      <c r="Z71" s="10">
        <f t="shared" si="28"/>
        <v>10.734548245743669</v>
      </c>
      <c r="AA71" s="10">
        <f t="shared" si="29"/>
        <v>1</v>
      </c>
      <c r="AB71" s="10">
        <f t="shared" si="30"/>
        <v>10.734548245743669</v>
      </c>
      <c r="AC71" s="10">
        <f t="shared" si="31"/>
        <v>10.734548245743669</v>
      </c>
      <c r="AD71" s="10">
        <f t="shared" si="32"/>
        <v>12</v>
      </c>
      <c r="AE71" t="s">
        <v>155</v>
      </c>
      <c r="AF71" s="26"/>
      <c r="AG71" s="26"/>
      <c r="AH71" s="26"/>
      <c r="AI71" s="26"/>
      <c r="AJ71" s="26"/>
      <c r="AK71" s="26"/>
      <c r="AL71" s="26">
        <v>1.9816898033402335</v>
      </c>
      <c r="AM71" s="26">
        <v>1.9816898033402335</v>
      </c>
      <c r="AN71" s="26">
        <v>1.9816898033402335</v>
      </c>
      <c r="AO71" s="26">
        <v>1.9816898033402335</v>
      </c>
      <c r="AP71" s="26">
        <v>1.0131398833231209</v>
      </c>
      <c r="AQ71" s="26">
        <v>1.0131398833231209</v>
      </c>
      <c r="AR71" s="26">
        <v>1.0131398833231209</v>
      </c>
      <c r="AS71" s="26">
        <v>1.0131398833231209</v>
      </c>
      <c r="AT71" s="26">
        <v>1.0131398833231209</v>
      </c>
      <c r="AU71" s="26"/>
      <c r="AV71" s="26">
        <v>1.0131398833231209</v>
      </c>
      <c r="AW71" s="26"/>
      <c r="AX71" s="26"/>
      <c r="AY71" s="26"/>
      <c r="AZ71" s="26"/>
      <c r="BA71" s="26"/>
      <c r="BB71" s="26">
        <v>1.0131398833231209</v>
      </c>
      <c r="BC71" s="26"/>
      <c r="BD71" s="26"/>
      <c r="BE71" s="26"/>
      <c r="BF71" s="26"/>
      <c r="BG71" s="26"/>
      <c r="BH71" s="26"/>
      <c r="BI71" s="26">
        <v>1.0131398833231209</v>
      </c>
      <c r="BJ71" s="26">
        <v>1.0131398833231209</v>
      </c>
      <c r="BK71" s="26">
        <v>1.0131398833231209</v>
      </c>
      <c r="BL71" s="26"/>
      <c r="BM71" s="26">
        <v>0.31009733552923258</v>
      </c>
      <c r="BN71" s="26">
        <v>0.31009733552923258</v>
      </c>
      <c r="BO71" s="26"/>
      <c r="BP71" s="26">
        <v>0.31009733552923258</v>
      </c>
      <c r="BQ71" s="26">
        <v>0.31009733552923258</v>
      </c>
      <c r="BR71" s="26">
        <v>0.31009733552923258</v>
      </c>
      <c r="BS71" s="26">
        <v>0.31009733552923258</v>
      </c>
      <c r="BT71" s="26">
        <v>0.31009733552923258</v>
      </c>
      <c r="BU71" s="26">
        <v>0.31009733552923258</v>
      </c>
      <c r="BV71" s="26">
        <v>0.31009733552923258</v>
      </c>
      <c r="BW71" s="26">
        <v>0.31009733552923258</v>
      </c>
      <c r="BX71" s="26">
        <v>0.31009733552923258</v>
      </c>
      <c r="BY71" s="26">
        <v>0.31009733552923258</v>
      </c>
      <c r="BZ71" s="26">
        <v>0.31009733552923258</v>
      </c>
      <c r="CA71" s="26">
        <v>0.31009733552923258</v>
      </c>
      <c r="CB71" s="26">
        <v>0.31009733552923258</v>
      </c>
      <c r="CC71" s="26">
        <v>0.31009733552923258</v>
      </c>
      <c r="CD71" s="26">
        <v>0.31009733552923258</v>
      </c>
      <c r="CE71" s="26">
        <v>0.31009733552923258</v>
      </c>
      <c r="CF71" s="26">
        <v>0.31009733552923258</v>
      </c>
      <c r="CG71" s="26"/>
      <c r="CH71" s="26"/>
      <c r="CI71" s="26"/>
      <c r="CJ71" s="26"/>
      <c r="CK71" s="26"/>
      <c r="CL71" s="26"/>
      <c r="CM71" s="26"/>
      <c r="CN71" s="26"/>
      <c r="CO71" s="26"/>
      <c r="CP71" s="26">
        <v>1.7948583470577035</v>
      </c>
      <c r="CQ71" s="26">
        <v>1.7948583470577035</v>
      </c>
      <c r="CR71" s="26">
        <v>1.7948583470577035</v>
      </c>
      <c r="CS71" s="26">
        <v>1.7948583470577035</v>
      </c>
      <c r="CT71" s="26">
        <v>1.7948583470577035</v>
      </c>
      <c r="CU71" s="26">
        <v>1.7948583470577035</v>
      </c>
      <c r="CV71" s="26">
        <v>1.7948583470577035</v>
      </c>
      <c r="CW71" s="26">
        <v>1.7948583470577035</v>
      </c>
      <c r="CX71" s="26">
        <v>1.7948583470577035</v>
      </c>
      <c r="CY71" s="26">
        <v>1.7948583470577035</v>
      </c>
      <c r="CZ71" s="26">
        <v>1.7948583470577035</v>
      </c>
      <c r="DA71" s="26">
        <v>1.7948583470577035</v>
      </c>
      <c r="DB71" s="26">
        <v>1.7948583470577035</v>
      </c>
      <c r="DC71" s="26"/>
      <c r="DD71" s="26">
        <v>1.7948583470577035</v>
      </c>
      <c r="DE71" s="26">
        <v>1.7948583470577035</v>
      </c>
      <c r="DF71" s="26"/>
      <c r="DG71" s="26"/>
      <c r="DH71" s="26">
        <v>1.7948583470577035</v>
      </c>
      <c r="DI71" s="26">
        <v>1.7948583470577035</v>
      </c>
      <c r="DJ71" s="26">
        <v>1.7948583470577035</v>
      </c>
      <c r="DK71" s="26">
        <v>1.7948583470577035</v>
      </c>
      <c r="DL71" s="26">
        <v>1.7948583470577035</v>
      </c>
      <c r="DM71" s="26">
        <v>1.7948583470577035</v>
      </c>
      <c r="DN71" s="26">
        <v>1.7948583470577035</v>
      </c>
      <c r="DO71" s="26">
        <v>1.7948583470577035</v>
      </c>
      <c r="DP71" s="26">
        <v>1.7948583470577035</v>
      </c>
      <c r="DQ71" s="26">
        <v>1.7948583470577035</v>
      </c>
      <c r="DR71" s="26">
        <v>1.7948583470577035</v>
      </c>
      <c r="DS71" s="26">
        <v>1.7948583470577035</v>
      </c>
      <c r="DT71" s="26"/>
      <c r="DU71" s="26"/>
      <c r="DV71" s="26">
        <v>10.734548245743669</v>
      </c>
      <c r="DW71" s="26"/>
      <c r="DX71" s="26"/>
      <c r="DY71" s="26">
        <v>10.734548245743669</v>
      </c>
      <c r="DZ71" s="26">
        <v>10.734548245743669</v>
      </c>
      <c r="EA71" s="26">
        <v>10.734548245743669</v>
      </c>
      <c r="EB71" s="26">
        <v>10.734548245743669</v>
      </c>
      <c r="EC71" s="26">
        <v>10.734548245743669</v>
      </c>
      <c r="ED71" s="26">
        <v>10.734548245743669</v>
      </c>
      <c r="EE71" s="26">
        <v>10.734548245743669</v>
      </c>
      <c r="EF71" s="26">
        <v>10.734548245743669</v>
      </c>
      <c r="EG71" s="26">
        <v>10.734548245743669</v>
      </c>
      <c r="EH71" s="26"/>
      <c r="EI71" s="26">
        <v>10.734548245743669</v>
      </c>
      <c r="EJ71" s="26">
        <v>10.734548245743669</v>
      </c>
      <c r="EK71" s="26"/>
      <c r="EL71" s="26">
        <v>10.734548245743669</v>
      </c>
      <c r="EM71" s="26">
        <v>10.734548245743669</v>
      </c>
      <c r="EN71" s="26">
        <v>10.734548245743669</v>
      </c>
      <c r="EO71" s="26">
        <v>10.734548245743669</v>
      </c>
      <c r="EP71" s="26">
        <v>10.734548245743669</v>
      </c>
      <c r="EQ71" s="26">
        <v>10.734548245743669</v>
      </c>
      <c r="ER71" s="26">
        <v>10.734548245743669</v>
      </c>
      <c r="ES71" s="26">
        <v>10.734548245743669</v>
      </c>
      <c r="ET71" s="26">
        <v>10.734548245743669</v>
      </c>
      <c r="EU71" s="26">
        <v>10.734548245743669</v>
      </c>
      <c r="EV71" s="26">
        <v>10.734548245743669</v>
      </c>
      <c r="EW71" s="26">
        <v>10.734548245743669</v>
      </c>
      <c r="EX71" s="26">
        <v>10.734548245743669</v>
      </c>
      <c r="EY71" s="26">
        <v>10.734548245743669</v>
      </c>
      <c r="EZ71" s="26">
        <v>10.734548245743669</v>
      </c>
      <c r="FA71" s="26">
        <v>10.734548245743669</v>
      </c>
      <c r="FB71" s="26">
        <v>10.734548245743669</v>
      </c>
      <c r="FC71" s="26">
        <v>10.734548245743669</v>
      </c>
      <c r="FD71" s="26">
        <v>10.734548245743669</v>
      </c>
      <c r="FE71" s="26">
        <v>10.734548245743669</v>
      </c>
      <c r="FF71" s="26">
        <v>10.734548245743669</v>
      </c>
      <c r="FG71" s="26">
        <v>10.734548245743669</v>
      </c>
      <c r="FH71" s="26">
        <v>10.734548245743669</v>
      </c>
      <c r="FI71" s="26"/>
      <c r="FJ71" s="26">
        <v>10.734548245743669</v>
      </c>
      <c r="FK71" s="26">
        <v>10.734548245743669</v>
      </c>
    </row>
    <row r="72" spans="3:167" x14ac:dyDescent="0.2">
      <c r="C72" s="10">
        <f t="shared" si="33"/>
        <v>-3.8930778869496353E-3</v>
      </c>
      <c r="D72" s="10">
        <f t="shared" si="34"/>
        <v>1.0697912060407605E-3</v>
      </c>
      <c r="E72" s="10" cm="1">
        <f t="array" ref="E72">gavg(AF72,EL72)</f>
        <v>2.2095329166538246E-4</v>
      </c>
      <c r="F72" s="10" cm="1">
        <f t="array" ref="F72">lnstdev(AF72,EL72)</f>
        <v>2.212596001242543</v>
      </c>
      <c r="G72" s="10">
        <f t="shared" si="35"/>
        <v>73</v>
      </c>
      <c r="H72" s="10">
        <f t="shared" si="36"/>
        <v>-8.2505982785482384E-8</v>
      </c>
      <c r="I72" s="10">
        <f t="shared" si="37"/>
        <v>-8.2505982785482384E-8</v>
      </c>
      <c r="J72" s="10"/>
      <c r="K72" s="10"/>
      <c r="L72" s="10">
        <f t="shared" si="38"/>
        <v>4</v>
      </c>
      <c r="M72" s="10">
        <f t="shared" si="39"/>
        <v>1.1035785110313825E-5</v>
      </c>
      <c r="N72" s="10">
        <f t="shared" si="40"/>
        <v>1.1035785110313825E-5</v>
      </c>
      <c r="O72" s="10">
        <f t="shared" si="41"/>
        <v>10</v>
      </c>
      <c r="P72" s="10">
        <f t="shared" si="42"/>
        <v>1.0697912060407605E-3</v>
      </c>
      <c r="Q72" s="10">
        <f t="shared" si="43"/>
        <v>1.0697912060407605E-3</v>
      </c>
      <c r="R72" s="10">
        <f t="shared" si="44"/>
        <v>19</v>
      </c>
      <c r="S72" s="10">
        <f t="shared" si="45"/>
        <v>-5.1627706347005581E-4</v>
      </c>
      <c r="T72" s="10">
        <f t="shared" si="46"/>
        <v>-5.1627706347005581E-4</v>
      </c>
      <c r="U72" s="10">
        <f t="shared" si="47"/>
        <v>27</v>
      </c>
      <c r="V72" s="10">
        <f t="shared" si="24"/>
        <v>-3.8930778869496353E-3</v>
      </c>
      <c r="W72" s="10">
        <f t="shared" si="25"/>
        <v>-3.8930778869496353E-3</v>
      </c>
      <c r="X72" s="10">
        <f t="shared" si="26"/>
        <v>13</v>
      </c>
      <c r="Y72" s="10">
        <f t="shared" si="27"/>
        <v>-3.8930778869496353E-3</v>
      </c>
      <c r="Z72" s="10">
        <f t="shared" si="28"/>
        <v>-3.8930778869496353E-3</v>
      </c>
      <c r="AA72" s="10">
        <f t="shared" si="29"/>
        <v>1</v>
      </c>
      <c r="AB72" s="10">
        <f t="shared" si="30"/>
        <v>-3.8930778869496353E-3</v>
      </c>
      <c r="AC72" s="10">
        <f t="shared" si="31"/>
        <v>-3.8930778869496353E-3</v>
      </c>
      <c r="AD72" s="10">
        <f t="shared" si="32"/>
        <v>12</v>
      </c>
      <c r="AE72" t="s">
        <v>152</v>
      </c>
      <c r="AF72" s="26"/>
      <c r="AG72" s="26"/>
      <c r="AH72" s="26"/>
      <c r="AI72" s="26"/>
      <c r="AJ72" s="26"/>
      <c r="AK72" s="26"/>
      <c r="AL72" s="26">
        <v>-8.2505982785482384E-8</v>
      </c>
      <c r="AM72" s="26">
        <v>-8.2505982785482384E-8</v>
      </c>
      <c r="AN72" s="26">
        <v>-8.2505982785482384E-8</v>
      </c>
      <c r="AO72" s="26">
        <v>-8.2505982785482384E-8</v>
      </c>
      <c r="AP72" s="26">
        <v>1.1035785110313825E-5</v>
      </c>
      <c r="AQ72" s="26">
        <v>1.1035785110313825E-5</v>
      </c>
      <c r="AR72" s="26">
        <v>1.1035785110313825E-5</v>
      </c>
      <c r="AS72" s="26">
        <v>1.1035785110313825E-5</v>
      </c>
      <c r="AT72" s="26">
        <v>1.1035785110313825E-5</v>
      </c>
      <c r="AU72" s="26"/>
      <c r="AV72" s="26">
        <v>1.1035785110313825E-5</v>
      </c>
      <c r="AW72" s="26"/>
      <c r="AX72" s="26"/>
      <c r="AY72" s="26"/>
      <c r="AZ72" s="26"/>
      <c r="BA72" s="26"/>
      <c r="BB72" s="26">
        <v>1.1035785110313825E-5</v>
      </c>
      <c r="BC72" s="26"/>
      <c r="BD72" s="26"/>
      <c r="BE72" s="26"/>
      <c r="BF72" s="26"/>
      <c r="BG72" s="26"/>
      <c r="BH72" s="26"/>
      <c r="BI72" s="26">
        <v>1.1035785110313825E-5</v>
      </c>
      <c r="BJ72" s="26">
        <v>1.1035785110313825E-5</v>
      </c>
      <c r="BK72" s="26">
        <v>1.1035785110313825E-5</v>
      </c>
      <c r="BL72" s="26"/>
      <c r="BM72" s="26">
        <v>1.0697912060407605E-3</v>
      </c>
      <c r="BN72" s="26">
        <v>1.0697912060407605E-3</v>
      </c>
      <c r="BO72" s="26"/>
      <c r="BP72" s="26">
        <v>1.0697912060407605E-3</v>
      </c>
      <c r="BQ72" s="26">
        <v>1.0697912060407605E-3</v>
      </c>
      <c r="BR72" s="26">
        <v>1.0697912060407605E-3</v>
      </c>
      <c r="BS72" s="26">
        <v>1.0697912060407605E-3</v>
      </c>
      <c r="BT72" s="26">
        <v>1.0697912060407605E-3</v>
      </c>
      <c r="BU72" s="26">
        <v>1.0697912060407605E-3</v>
      </c>
      <c r="BV72" s="26">
        <v>1.0697912060407605E-3</v>
      </c>
      <c r="BW72" s="26">
        <v>1.0697912060407605E-3</v>
      </c>
      <c r="BX72" s="26">
        <v>1.0697912060407605E-3</v>
      </c>
      <c r="BY72" s="26">
        <v>1.0697912060407605E-3</v>
      </c>
      <c r="BZ72" s="26">
        <v>1.0697912060407605E-3</v>
      </c>
      <c r="CA72" s="26">
        <v>1.0697912060407605E-3</v>
      </c>
      <c r="CB72" s="26">
        <v>1.0697912060407605E-3</v>
      </c>
      <c r="CC72" s="26">
        <v>1.0697912060407605E-3</v>
      </c>
      <c r="CD72" s="26">
        <v>1.0697912060407605E-3</v>
      </c>
      <c r="CE72" s="26">
        <v>1.0697912060407605E-3</v>
      </c>
      <c r="CF72" s="26">
        <v>1.0697912060407605E-3</v>
      </c>
      <c r="CG72" s="26"/>
      <c r="CH72" s="26"/>
      <c r="CI72" s="26"/>
      <c r="CJ72" s="26"/>
      <c r="CK72" s="26"/>
      <c r="CL72" s="26"/>
      <c r="CM72" s="26"/>
      <c r="CN72" s="26"/>
      <c r="CO72" s="26"/>
      <c r="CP72" s="26">
        <v>-5.1627706347005581E-4</v>
      </c>
      <c r="CQ72" s="26">
        <v>-5.1627706347005581E-4</v>
      </c>
      <c r="CR72" s="26">
        <v>-5.1627706347005581E-4</v>
      </c>
      <c r="CS72" s="26">
        <v>-5.1627706347005581E-4</v>
      </c>
      <c r="CT72" s="26">
        <v>-5.1627706347005581E-4</v>
      </c>
      <c r="CU72" s="26">
        <v>-5.1627706347005581E-4</v>
      </c>
      <c r="CV72" s="26">
        <v>-5.1627706347005581E-4</v>
      </c>
      <c r="CW72" s="26">
        <v>-5.1627706347005581E-4</v>
      </c>
      <c r="CX72" s="26">
        <v>-5.1627706347005581E-4</v>
      </c>
      <c r="CY72" s="26">
        <v>-5.1627706347005581E-4</v>
      </c>
      <c r="CZ72" s="26">
        <v>-5.1627706347005581E-4</v>
      </c>
      <c r="DA72" s="26">
        <v>-5.1627706347005581E-4</v>
      </c>
      <c r="DB72" s="26">
        <v>-5.1627706347005581E-4</v>
      </c>
      <c r="DC72" s="26"/>
      <c r="DD72" s="26">
        <v>-5.1627706347005581E-4</v>
      </c>
      <c r="DE72" s="26">
        <v>-5.1627706347005581E-4</v>
      </c>
      <c r="DF72" s="26"/>
      <c r="DG72" s="26"/>
      <c r="DH72" s="26">
        <v>-5.1627706347005581E-4</v>
      </c>
      <c r="DI72" s="26">
        <v>-5.1627706347005581E-4</v>
      </c>
      <c r="DJ72" s="26">
        <v>-5.1627706347005581E-4</v>
      </c>
      <c r="DK72" s="26">
        <v>-5.1627706347005581E-4</v>
      </c>
      <c r="DL72" s="26">
        <v>-5.1627706347005581E-4</v>
      </c>
      <c r="DM72" s="26">
        <v>-5.1627706347005581E-4</v>
      </c>
      <c r="DN72" s="26">
        <v>-5.1627706347005581E-4</v>
      </c>
      <c r="DO72" s="26">
        <v>-5.1627706347005581E-4</v>
      </c>
      <c r="DP72" s="26">
        <v>-5.1627706347005581E-4</v>
      </c>
      <c r="DQ72" s="26">
        <v>-5.1627706347005581E-4</v>
      </c>
      <c r="DR72" s="26">
        <v>-5.1627706347005581E-4</v>
      </c>
      <c r="DS72" s="26">
        <v>-5.1627706347005581E-4</v>
      </c>
      <c r="DT72" s="26"/>
      <c r="DU72" s="26"/>
      <c r="DV72" s="26">
        <v>-3.8930778869496353E-3</v>
      </c>
      <c r="DW72" s="26"/>
      <c r="DX72" s="26"/>
      <c r="DY72" s="26">
        <v>-3.8930778869496353E-3</v>
      </c>
      <c r="DZ72" s="26">
        <v>-3.8930778869496353E-3</v>
      </c>
      <c r="EA72" s="26">
        <v>-3.8930778869496353E-3</v>
      </c>
      <c r="EB72" s="26">
        <v>-3.8930778869496353E-3</v>
      </c>
      <c r="EC72" s="26">
        <v>-3.8930778869496353E-3</v>
      </c>
      <c r="ED72" s="26">
        <v>-3.8930778869496353E-3</v>
      </c>
      <c r="EE72" s="26">
        <v>-3.8930778869496353E-3</v>
      </c>
      <c r="EF72" s="26">
        <v>-3.8930778869496353E-3</v>
      </c>
      <c r="EG72" s="26">
        <v>-3.8930778869496353E-3</v>
      </c>
      <c r="EH72" s="26"/>
      <c r="EI72" s="26">
        <v>-3.8930778869496353E-3</v>
      </c>
      <c r="EJ72" s="26">
        <v>-3.8930778869496353E-3</v>
      </c>
      <c r="EK72" s="26"/>
      <c r="EL72" s="26">
        <v>-3.8930778869496353E-3</v>
      </c>
      <c r="EM72" s="26">
        <v>-3.8930778869496353E-3</v>
      </c>
      <c r="EN72" s="26">
        <v>-3.8930778869496353E-3</v>
      </c>
      <c r="EO72" s="26">
        <v>-3.8930778869496353E-3</v>
      </c>
      <c r="EP72" s="26">
        <v>-3.8930778869496353E-3</v>
      </c>
      <c r="EQ72" s="26">
        <v>-3.8930778869496353E-3</v>
      </c>
      <c r="ER72" s="26">
        <v>-3.8930778869496353E-3</v>
      </c>
      <c r="ES72" s="26">
        <v>-3.8930778869496353E-3</v>
      </c>
      <c r="ET72" s="26">
        <v>-3.8930778869496353E-3</v>
      </c>
      <c r="EU72" s="26">
        <v>-3.8930778869496353E-3</v>
      </c>
      <c r="EV72" s="26">
        <v>-3.8930778869496353E-3</v>
      </c>
      <c r="EW72" s="26">
        <v>-3.8930778869496353E-3</v>
      </c>
      <c r="EX72" s="26">
        <v>-3.8930778869496353E-3</v>
      </c>
      <c r="EY72" s="26">
        <v>-3.8930778869496353E-3</v>
      </c>
      <c r="EZ72" s="26">
        <v>-3.8930778869496353E-3</v>
      </c>
      <c r="FA72" s="26">
        <v>-3.8930778869496353E-3</v>
      </c>
      <c r="FB72" s="26">
        <v>-3.8930778869496353E-3</v>
      </c>
      <c r="FC72" s="26">
        <v>-3.8930778869496353E-3</v>
      </c>
      <c r="FD72" s="26">
        <v>-3.8930778869496353E-3</v>
      </c>
      <c r="FE72" s="26">
        <v>-3.8930778869496353E-3</v>
      </c>
      <c r="FF72" s="26">
        <v>-3.8930778869496353E-3</v>
      </c>
      <c r="FG72" s="26">
        <v>-3.8930778869496353E-3</v>
      </c>
      <c r="FH72" s="26">
        <v>-3.8930778869496353E-3</v>
      </c>
      <c r="FI72" s="26"/>
      <c r="FJ72" s="26">
        <v>-3.8930778869496353E-3</v>
      </c>
      <c r="FK72" s="26">
        <v>-3.8930778869496353E-3</v>
      </c>
    </row>
    <row r="73" spans="3:167" x14ac:dyDescent="0.2">
      <c r="C73" s="10">
        <f t="shared" si="33"/>
        <v>-2.593010297378806E-7</v>
      </c>
      <c r="D73" s="10">
        <f t="shared" si="34"/>
        <v>3.024016059960936E-7</v>
      </c>
      <c r="E73" s="10" cm="1">
        <f t="array" ref="E73">gavg(AF73,EL73)</f>
        <v>6.7642732933556754E-8</v>
      </c>
      <c r="F73" s="10" cm="1">
        <f t="array" ref="F73">lnstdev(AF73,EL73)</f>
        <v>0.85517671906210946</v>
      </c>
      <c r="G73" s="10">
        <f t="shared" si="35"/>
        <v>73</v>
      </c>
      <c r="H73" s="10">
        <f t="shared" si="36"/>
        <v>-8.0051448343456816E-8</v>
      </c>
      <c r="I73" s="10">
        <f t="shared" si="37"/>
        <v>8.1310135094401165E-8</v>
      </c>
      <c r="J73" s="10"/>
      <c r="K73" s="10"/>
      <c r="L73" s="10">
        <f t="shared" si="38"/>
        <v>4</v>
      </c>
      <c r="M73" s="10">
        <f t="shared" si="39"/>
        <v>-1.6909020714324687E-7</v>
      </c>
      <c r="N73" s="10">
        <f t="shared" si="40"/>
        <v>1.2425268730244378E-7</v>
      </c>
      <c r="O73" s="10">
        <f t="shared" si="41"/>
        <v>10</v>
      </c>
      <c r="P73" s="10">
        <f t="shared" si="42"/>
        <v>-2.593010297378806E-7</v>
      </c>
      <c r="Q73" s="10">
        <f t="shared" si="43"/>
        <v>2.552472605038788E-7</v>
      </c>
      <c r="R73" s="10">
        <f t="shared" si="44"/>
        <v>19</v>
      </c>
      <c r="S73" s="10">
        <f t="shared" si="45"/>
        <v>-2.2010424351801806E-7</v>
      </c>
      <c r="T73" s="10">
        <f t="shared" si="46"/>
        <v>2.9298090280747546E-7</v>
      </c>
      <c r="U73" s="10">
        <f t="shared" si="47"/>
        <v>27</v>
      </c>
      <c r="V73" s="10">
        <f t="shared" si="24"/>
        <v>-2.1009518378232302E-7</v>
      </c>
      <c r="W73" s="10">
        <f t="shared" si="25"/>
        <v>3.024016059960936E-7</v>
      </c>
      <c r="X73" s="10">
        <f t="shared" si="26"/>
        <v>13</v>
      </c>
      <c r="Y73" s="10">
        <f t="shared" si="27"/>
        <v>-2.1009518378232302E-7</v>
      </c>
      <c r="Z73" s="10">
        <f t="shared" si="28"/>
        <v>-2.1009518378232302E-7</v>
      </c>
      <c r="AA73" s="10">
        <f t="shared" si="29"/>
        <v>1</v>
      </c>
      <c r="AB73" s="10">
        <f t="shared" si="30"/>
        <v>-9.0690498004814423E-8</v>
      </c>
      <c r="AC73" s="10">
        <f t="shared" si="31"/>
        <v>3.024016059960936E-7</v>
      </c>
      <c r="AD73" s="10">
        <f t="shared" si="32"/>
        <v>12</v>
      </c>
      <c r="AE73" t="s">
        <v>165</v>
      </c>
      <c r="AF73" s="26"/>
      <c r="AG73" s="26"/>
      <c r="AH73" s="26"/>
      <c r="AI73" s="26"/>
      <c r="AJ73" s="26"/>
      <c r="AK73" s="26"/>
      <c r="AL73" s="26">
        <v>-8.0051448343456816E-8</v>
      </c>
      <c r="AM73" s="26">
        <v>-3.9682302676230667E-8</v>
      </c>
      <c r="AN73" s="26">
        <v>8.1310135094401165E-8</v>
      </c>
      <c r="AO73" s="26">
        <v>-4.6750111986398386E-8</v>
      </c>
      <c r="AP73" s="26">
        <v>-1.6909020714324687E-7</v>
      </c>
      <c r="AQ73" s="26">
        <v>-8.2552705859195943E-8</v>
      </c>
      <c r="AR73" s="26">
        <v>-1.2111112890993107E-7</v>
      </c>
      <c r="AS73" s="26">
        <v>1.2425268730244378E-7</v>
      </c>
      <c r="AT73" s="26">
        <v>-1.5106672088564378E-7</v>
      </c>
      <c r="AU73" s="26"/>
      <c r="AV73" s="26">
        <v>-7.4323180152279399E-8</v>
      </c>
      <c r="AW73" s="26"/>
      <c r="AX73" s="26"/>
      <c r="AY73" s="26"/>
      <c r="AZ73" s="26"/>
      <c r="BA73" s="26"/>
      <c r="BB73" s="26">
        <v>4.5712842465682743E-8</v>
      </c>
      <c r="BC73" s="26"/>
      <c r="BD73" s="26"/>
      <c r="BE73" s="26"/>
      <c r="BF73" s="26"/>
      <c r="BG73" s="26"/>
      <c r="BH73" s="26"/>
      <c r="BI73" s="26">
        <v>-7.2908479469229449E-8</v>
      </c>
      <c r="BJ73" s="26">
        <v>1.087540811555041E-7</v>
      </c>
      <c r="BK73" s="26">
        <v>7.9894128771109683E-9</v>
      </c>
      <c r="BL73" s="26"/>
      <c r="BM73" s="26">
        <v>8.4451808421963689E-8</v>
      </c>
      <c r="BN73" s="26">
        <v>1.4249560471073698E-7</v>
      </c>
      <c r="BO73" s="26"/>
      <c r="BP73" s="26">
        <v>-3.6961637101279244E-8</v>
      </c>
      <c r="BQ73" s="26">
        <v>7.6388148220288126E-8</v>
      </c>
      <c r="BR73" s="26">
        <v>1.0657061176325559E-7</v>
      </c>
      <c r="BS73" s="26">
        <v>-1.1079066836483252E-8</v>
      </c>
      <c r="BT73" s="26">
        <v>1.3324597581308791E-7</v>
      </c>
      <c r="BU73" s="26">
        <v>2.552472605038788E-7</v>
      </c>
      <c r="BV73" s="26">
        <v>7.4859414529685875E-8</v>
      </c>
      <c r="BW73" s="26">
        <v>7.432034911095703E-8</v>
      </c>
      <c r="BX73" s="26">
        <v>8.5956769782497523E-8</v>
      </c>
      <c r="BY73" s="26">
        <v>4.9875747176396615E-8</v>
      </c>
      <c r="BZ73" s="26">
        <v>-2.5652813521925087E-7</v>
      </c>
      <c r="CA73" s="26">
        <v>-2.0013097379734115E-8</v>
      </c>
      <c r="CB73" s="26">
        <v>-2.593010297378806E-7</v>
      </c>
      <c r="CC73" s="26">
        <v>1.6873452270723105E-8</v>
      </c>
      <c r="CD73" s="26">
        <v>-5.4936789712823816E-9</v>
      </c>
      <c r="CE73" s="26">
        <v>1.1877231572108668E-8</v>
      </c>
      <c r="CF73" s="26">
        <v>9.595148215266379E-8</v>
      </c>
      <c r="CG73" s="26"/>
      <c r="CH73" s="26"/>
      <c r="CI73" s="26"/>
      <c r="CJ73" s="26"/>
      <c r="CK73" s="26"/>
      <c r="CL73" s="26"/>
      <c r="CM73" s="26"/>
      <c r="CN73" s="26"/>
      <c r="CO73" s="26"/>
      <c r="CP73" s="26">
        <v>2.1591404775725211E-7</v>
      </c>
      <c r="CQ73" s="26">
        <v>3.4153625122122562E-8</v>
      </c>
      <c r="CR73" s="26">
        <v>-1.7714976778073059E-7</v>
      </c>
      <c r="CS73" s="26">
        <v>5.6333538024141721E-8</v>
      </c>
      <c r="CT73" s="26">
        <v>-1.2717161311071019E-7</v>
      </c>
      <c r="CU73" s="26">
        <v>1.3572853918937471E-7</v>
      </c>
      <c r="CV73" s="26">
        <v>8.6449054397544014E-8</v>
      </c>
      <c r="CW73" s="26">
        <v>-4.5915338303610069E-9</v>
      </c>
      <c r="CX73" s="26">
        <v>-2.2010424351801806E-7</v>
      </c>
      <c r="CY73" s="26">
        <v>6.1097922853054998E-8</v>
      </c>
      <c r="CZ73" s="26">
        <v>1.904705086609875E-8</v>
      </c>
      <c r="DA73" s="26">
        <v>-4.0903641977397613E-8</v>
      </c>
      <c r="DB73" s="26">
        <v>2.7473540398304363E-8</v>
      </c>
      <c r="DC73" s="26"/>
      <c r="DD73" s="26">
        <v>-3.0193583423012451E-8</v>
      </c>
      <c r="DE73" s="26">
        <v>9.382433589552977E-8</v>
      </c>
      <c r="DF73" s="26"/>
      <c r="DG73" s="26"/>
      <c r="DH73" s="26">
        <v>1.6679148811774077E-8</v>
      </c>
      <c r="DI73" s="26">
        <v>-1.012723373149732E-7</v>
      </c>
      <c r="DJ73" s="26">
        <v>5.3046879702978057E-8</v>
      </c>
      <c r="DK73" s="26">
        <v>1.4022999577525158E-7</v>
      </c>
      <c r="DL73" s="26">
        <v>2.9298090280747546E-7</v>
      </c>
      <c r="DM73" s="26">
        <v>-1.5673631566366925E-7</v>
      </c>
      <c r="DN73" s="26">
        <v>-9.5573747153900223E-8</v>
      </c>
      <c r="DO73" s="26">
        <v>9.9966910637605721E-8</v>
      </c>
      <c r="DP73" s="26">
        <v>-3.0252972140974437E-8</v>
      </c>
      <c r="DQ73" s="26">
        <v>1.4613442742832444E-7</v>
      </c>
      <c r="DR73" s="26">
        <v>-2.3560052825331472E-9</v>
      </c>
      <c r="DS73" s="26">
        <v>-6.1290680965829338E-8</v>
      </c>
      <c r="DT73" s="26"/>
      <c r="DU73" s="26"/>
      <c r="DV73" s="26">
        <v>-2.1009518378232302E-7</v>
      </c>
      <c r="DW73" s="26"/>
      <c r="DX73" s="26"/>
      <c r="DY73" s="26">
        <v>4.2173934343660474E-8</v>
      </c>
      <c r="DZ73" s="26">
        <v>3.024016059960936E-7</v>
      </c>
      <c r="EA73" s="26">
        <v>7.8427087524171307E-8</v>
      </c>
      <c r="EB73" s="26">
        <v>-9.0690498004814423E-8</v>
      </c>
      <c r="EC73" s="26">
        <v>1.4926875776028603E-7</v>
      </c>
      <c r="ED73" s="26">
        <v>4.2096790500044877E-8</v>
      </c>
      <c r="EE73" s="26">
        <v>-3.8949042306067461E-8</v>
      </c>
      <c r="EF73" s="26">
        <v>-6.000774524141321E-8</v>
      </c>
      <c r="EG73" s="26">
        <v>2.2310736564695494E-8</v>
      </c>
      <c r="EH73" s="26"/>
      <c r="EI73" s="26">
        <v>3.0996867702905471E-8</v>
      </c>
      <c r="EJ73" s="26">
        <v>-6.7087946894447139E-8</v>
      </c>
      <c r="EK73" s="26"/>
      <c r="EL73" s="26">
        <v>5.2864861978398747E-8</v>
      </c>
      <c r="EM73" s="26">
        <v>4.7081607281392962E-8</v>
      </c>
      <c r="EN73" s="26">
        <v>-1.7596436324118844E-7</v>
      </c>
      <c r="EO73" s="26">
        <v>1.7959230821857949E-7</v>
      </c>
      <c r="EP73" s="26">
        <v>9.931833106778835E-8</v>
      </c>
      <c r="EQ73" s="26">
        <v>-2.8693070664751338E-8</v>
      </c>
      <c r="ER73" s="26">
        <v>-8.6117255593211281E-8</v>
      </c>
      <c r="ES73" s="26">
        <v>1.6026957410452153E-8</v>
      </c>
      <c r="ET73" s="26">
        <v>3.8069863203301383E-8</v>
      </c>
      <c r="EU73" s="26">
        <v>-2.5044389922739417E-7</v>
      </c>
      <c r="EV73" s="26">
        <v>-9.1450310398180065E-8</v>
      </c>
      <c r="EW73" s="26">
        <v>2.0566167585750166E-7</v>
      </c>
      <c r="EX73" s="26">
        <v>-8.6847664611919296E-8</v>
      </c>
      <c r="EY73" s="26">
        <v>2.5267534634019697E-8</v>
      </c>
      <c r="EZ73" s="26">
        <v>-7.2023210102768962E-8</v>
      </c>
      <c r="FA73" s="26">
        <v>9.7696064094324723E-9</v>
      </c>
      <c r="FB73" s="26">
        <v>-7.9760491728054916E-8</v>
      </c>
      <c r="FC73" s="26">
        <v>-2.8468660395750505E-7</v>
      </c>
      <c r="FD73" s="26">
        <v>-9.892882269783372E-8</v>
      </c>
      <c r="FE73" s="26">
        <v>-7.3576521917335286E-8</v>
      </c>
      <c r="FF73" s="26">
        <v>1.6279662602894451E-7</v>
      </c>
      <c r="FG73" s="26">
        <v>2.2436037819813845E-7</v>
      </c>
      <c r="FH73" s="26">
        <v>-1.0272355549762601E-7</v>
      </c>
      <c r="FI73" s="26"/>
      <c r="FJ73" s="26">
        <v>-1.2200564414730236E-7</v>
      </c>
      <c r="FK73" s="26">
        <v>9.2242294877974036E-8</v>
      </c>
    </row>
    <row r="74" spans="3:167" x14ac:dyDescent="0.2">
      <c r="C74" s="10">
        <f t="shared" si="33"/>
        <v>-2.0701096559107823E-7</v>
      </c>
      <c r="D74" s="10">
        <f t="shared" si="34"/>
        <v>2.6782092043715315E-7</v>
      </c>
      <c r="E74" s="10" cm="1">
        <f t="array" ref="E74">gavg(AF74,EL74)</f>
        <v>6.9227735441338822E-8</v>
      </c>
      <c r="F74" s="10" cm="1">
        <f t="array" ref="F74">lnstdev(AF74,EL74)</f>
        <v>0.84963517849707881</v>
      </c>
      <c r="G74" s="10">
        <f t="shared" si="35"/>
        <v>73</v>
      </c>
      <c r="H74" s="10">
        <f t="shared" si="36"/>
        <v>-1.3032303619481879E-7</v>
      </c>
      <c r="I74" s="10">
        <f t="shared" si="37"/>
        <v>5.3407113526559411E-8</v>
      </c>
      <c r="J74" s="10"/>
      <c r="K74" s="10"/>
      <c r="L74" s="10">
        <f t="shared" si="38"/>
        <v>4</v>
      </c>
      <c r="M74" s="10">
        <f t="shared" si="39"/>
        <v>-2.0701096559107823E-7</v>
      </c>
      <c r="N74" s="10">
        <f t="shared" si="40"/>
        <v>1.6505046988185269E-7</v>
      </c>
      <c r="O74" s="10">
        <f t="shared" si="41"/>
        <v>10</v>
      </c>
      <c r="P74" s="10">
        <f t="shared" si="42"/>
        <v>-1.8590302937539012E-7</v>
      </c>
      <c r="Q74" s="10">
        <f t="shared" si="43"/>
        <v>2.3461171162585382E-7</v>
      </c>
      <c r="R74" s="10">
        <f t="shared" si="44"/>
        <v>19</v>
      </c>
      <c r="S74" s="10">
        <f t="shared" si="45"/>
        <v>-1.8981720997982185E-7</v>
      </c>
      <c r="T74" s="10">
        <f t="shared" si="46"/>
        <v>2.6782092043715315E-7</v>
      </c>
      <c r="U74" s="10">
        <f t="shared" si="47"/>
        <v>27</v>
      </c>
      <c r="V74" s="10">
        <f t="shared" si="24"/>
        <v>-1.1107022596757809E-7</v>
      </c>
      <c r="W74" s="10">
        <f t="shared" si="25"/>
        <v>1.2664879720099321E-7</v>
      </c>
      <c r="X74" s="10">
        <f t="shared" si="26"/>
        <v>13</v>
      </c>
      <c r="Y74" s="10">
        <f t="shared" si="27"/>
        <v>-8.46556824946528E-8</v>
      </c>
      <c r="Z74" s="10">
        <f t="shared" si="28"/>
        <v>-8.46556824946528E-8</v>
      </c>
      <c r="AA74" s="10">
        <f t="shared" si="29"/>
        <v>1</v>
      </c>
      <c r="AB74" s="10">
        <f t="shared" si="30"/>
        <v>-1.1107022596757809E-7</v>
      </c>
      <c r="AC74" s="10">
        <f t="shared" si="31"/>
        <v>1.2664879720099321E-7</v>
      </c>
      <c r="AD74" s="10">
        <f t="shared" si="32"/>
        <v>12</v>
      </c>
      <c r="AE74" t="s">
        <v>168</v>
      </c>
      <c r="AF74" s="26"/>
      <c r="AG74" s="26"/>
      <c r="AH74" s="26"/>
      <c r="AI74" s="26"/>
      <c r="AJ74" s="26"/>
      <c r="AK74" s="26"/>
      <c r="AL74" s="26">
        <v>1.8500343308257094E-8</v>
      </c>
      <c r="AM74" s="26">
        <v>-1.3032303619481879E-7</v>
      </c>
      <c r="AN74" s="26">
        <v>-1.5681203347765545E-8</v>
      </c>
      <c r="AO74" s="26">
        <v>5.3407113526559411E-8</v>
      </c>
      <c r="AP74" s="26">
        <v>-2.0701096559107823E-7</v>
      </c>
      <c r="AQ74" s="26">
        <v>5.1210004702258924E-8</v>
      </c>
      <c r="AR74" s="26">
        <v>5.7757275293160866E-8</v>
      </c>
      <c r="AS74" s="26">
        <v>-2.4328558908058297E-8</v>
      </c>
      <c r="AT74" s="26">
        <v>8.2633374725936025E-8</v>
      </c>
      <c r="AU74" s="26"/>
      <c r="AV74" s="26">
        <v>1.6505046988185269E-7</v>
      </c>
      <c r="AW74" s="26"/>
      <c r="AX74" s="26"/>
      <c r="AY74" s="26"/>
      <c r="AZ74" s="26"/>
      <c r="BA74" s="26"/>
      <c r="BB74" s="26">
        <v>-1.4858994706155558E-7</v>
      </c>
      <c r="BC74" s="26"/>
      <c r="BD74" s="26"/>
      <c r="BE74" s="26"/>
      <c r="BF74" s="26"/>
      <c r="BG74" s="26"/>
      <c r="BH74" s="26"/>
      <c r="BI74" s="26">
        <v>-1.7275707580143915E-7</v>
      </c>
      <c r="BJ74" s="26">
        <v>-1.4257939890440268E-7</v>
      </c>
      <c r="BK74" s="26">
        <v>-3.011840067182986E-8</v>
      </c>
      <c r="BL74" s="26"/>
      <c r="BM74" s="26">
        <v>-3.5683203122687164E-9</v>
      </c>
      <c r="BN74" s="26">
        <v>-7.4821144005055766E-9</v>
      </c>
      <c r="BO74" s="26"/>
      <c r="BP74" s="26">
        <v>2.3461171162585382E-7</v>
      </c>
      <c r="BQ74" s="26">
        <v>-8.2341019062526237E-8</v>
      </c>
      <c r="BR74" s="26">
        <v>-1.8590302937539012E-7</v>
      </c>
      <c r="BS74" s="26">
        <v>9.9003172977217747E-8</v>
      </c>
      <c r="BT74" s="26">
        <v>4.3254286771661795E-8</v>
      </c>
      <c r="BU74" s="26">
        <v>4.256309947172635E-8</v>
      </c>
      <c r="BV74" s="26">
        <v>7.3111439561011814E-8</v>
      </c>
      <c r="BW74" s="26">
        <v>4.8658238475903616E-8</v>
      </c>
      <c r="BX74" s="26">
        <v>2.1534166218150003E-8</v>
      </c>
      <c r="BY74" s="26">
        <v>1.5462812466359808E-8</v>
      </c>
      <c r="BZ74" s="26">
        <v>1.5108550202004263E-7</v>
      </c>
      <c r="CA74" s="26">
        <v>-3.2916571744752748E-9</v>
      </c>
      <c r="CB74" s="26">
        <v>-7.5775693704146405E-8</v>
      </c>
      <c r="CC74" s="26">
        <v>1.5141086193202773E-7</v>
      </c>
      <c r="CD74" s="26">
        <v>-8.0458929869151505E-8</v>
      </c>
      <c r="CE74" s="26">
        <v>-9.4602485878952988E-8</v>
      </c>
      <c r="CF74" s="26">
        <v>2.2155974309923595E-7</v>
      </c>
      <c r="CG74" s="26"/>
      <c r="CH74" s="26"/>
      <c r="CI74" s="26"/>
      <c r="CJ74" s="26"/>
      <c r="CK74" s="26"/>
      <c r="CL74" s="26"/>
      <c r="CM74" s="26"/>
      <c r="CN74" s="26"/>
      <c r="CO74" s="26"/>
      <c r="CP74" s="26">
        <v>1.1364144690149212E-7</v>
      </c>
      <c r="CQ74" s="26">
        <v>-1.3116417135529179E-7</v>
      </c>
      <c r="CR74" s="26">
        <v>-1.7521688547459505E-7</v>
      </c>
      <c r="CS74" s="26">
        <v>-1.3789169602062878E-7</v>
      </c>
      <c r="CT74" s="26">
        <v>2.0211217655396482E-7</v>
      </c>
      <c r="CU74" s="26">
        <v>-3.1637041265371429E-8</v>
      </c>
      <c r="CV74" s="26">
        <v>-1.0470628213074954E-7</v>
      </c>
      <c r="CW74" s="26">
        <v>-1.8981720997982185E-7</v>
      </c>
      <c r="CX74" s="26">
        <v>2.5111144208630378E-7</v>
      </c>
      <c r="CY74" s="26">
        <v>-4.0283798220338688E-8</v>
      </c>
      <c r="CZ74" s="26">
        <v>1.1781245373610488E-7</v>
      </c>
      <c r="DA74" s="26">
        <v>-2.5200554516501466E-8</v>
      </c>
      <c r="DB74" s="26">
        <v>-2.7337243065434162E-8</v>
      </c>
      <c r="DC74" s="26"/>
      <c r="DD74" s="26">
        <v>3.773753327455412E-8</v>
      </c>
      <c r="DE74" s="26">
        <v>1.150631144113955E-7</v>
      </c>
      <c r="DF74" s="26"/>
      <c r="DG74" s="26"/>
      <c r="DH74" s="26">
        <v>9.589681669401884E-9</v>
      </c>
      <c r="DI74" s="26">
        <v>-1.5976155193163385E-8</v>
      </c>
      <c r="DJ74" s="26">
        <v>-5.7448364272715839E-8</v>
      </c>
      <c r="DK74" s="26">
        <v>-6.4540457840279935E-8</v>
      </c>
      <c r="DL74" s="26">
        <v>5.0270620401837087E-8</v>
      </c>
      <c r="DM74" s="26">
        <v>-1.0187522933478999E-7</v>
      </c>
      <c r="DN74" s="26">
        <v>2.6782092043715315E-7</v>
      </c>
      <c r="DO74" s="26">
        <v>-1.6234140164041072E-8</v>
      </c>
      <c r="DP74" s="26">
        <v>-7.8162687823714805E-8</v>
      </c>
      <c r="DQ74" s="26">
        <v>8.3392411940401884E-8</v>
      </c>
      <c r="DR74" s="26">
        <v>-1.7454167735589288E-7</v>
      </c>
      <c r="DS74" s="26">
        <v>-3.2275949545420116E-8</v>
      </c>
      <c r="DT74" s="26"/>
      <c r="DU74" s="26"/>
      <c r="DV74" s="26">
        <v>-8.46556824946528E-8</v>
      </c>
      <c r="DW74" s="26"/>
      <c r="DX74" s="26"/>
      <c r="DY74" s="26">
        <v>5.3725575655043766E-8</v>
      </c>
      <c r="DZ74" s="26">
        <v>1.9753741114253329E-8</v>
      </c>
      <c r="EA74" s="26">
        <v>2.7688313924672864E-8</v>
      </c>
      <c r="EB74" s="26">
        <v>-1.0561443233691874E-7</v>
      </c>
      <c r="EC74" s="26">
        <v>-6.3373823976092104E-8</v>
      </c>
      <c r="ED74" s="26">
        <v>1.2664879720099321E-7</v>
      </c>
      <c r="EE74" s="26">
        <v>-3.4061197887171823E-8</v>
      </c>
      <c r="EF74" s="26">
        <v>6.8917041696746509E-8</v>
      </c>
      <c r="EG74" s="26">
        <v>7.5918191293842211E-8</v>
      </c>
      <c r="EH74" s="26"/>
      <c r="EI74" s="26">
        <v>-1.1107022596757809E-7</v>
      </c>
      <c r="EJ74" s="26">
        <v>-1.0820219361905111E-7</v>
      </c>
      <c r="EK74" s="26"/>
      <c r="EL74" s="26">
        <v>5.8632028179007471E-8</v>
      </c>
      <c r="EM74" s="26">
        <v>1.1838908418911404E-7</v>
      </c>
      <c r="EN74" s="26">
        <v>-1.6702117051217975E-8</v>
      </c>
      <c r="EO74" s="26">
        <v>-3.7834254001566483E-8</v>
      </c>
      <c r="EP74" s="26">
        <v>6.1201960958152283E-8</v>
      </c>
      <c r="EQ74" s="26">
        <v>1.7324964646039913E-8</v>
      </c>
      <c r="ER74" s="26">
        <v>2.3082444089978418E-7</v>
      </c>
      <c r="ES74" s="26">
        <v>3.6653219342941496E-8</v>
      </c>
      <c r="ET74" s="26">
        <v>7.764204266747056E-8</v>
      </c>
      <c r="EU74" s="26">
        <v>2.3769916185829416E-7</v>
      </c>
      <c r="EV74" s="26">
        <v>5.2669151123861243E-9</v>
      </c>
      <c r="EW74" s="26">
        <v>-6.3027149253993512E-9</v>
      </c>
      <c r="EX74" s="26">
        <v>-2.4927738961733228E-8</v>
      </c>
      <c r="EY74" s="26">
        <v>1.5328551008291246E-7</v>
      </c>
      <c r="EZ74" s="26">
        <v>-2.1255620979690557E-7</v>
      </c>
      <c r="FA74" s="26">
        <v>-5.7202689000717407E-8</v>
      </c>
      <c r="FB74" s="26">
        <v>2.7212501146892792E-7</v>
      </c>
      <c r="FC74" s="26">
        <v>-4.2559492614271028E-8</v>
      </c>
      <c r="FD74" s="26">
        <v>-3.4518146381895523E-8</v>
      </c>
      <c r="FE74" s="26">
        <v>-2.1335232969214161E-7</v>
      </c>
      <c r="FF74" s="26">
        <v>-8.2964269565287764E-8</v>
      </c>
      <c r="FG74" s="26">
        <v>5.2787594012680287E-8</v>
      </c>
      <c r="FH74" s="26">
        <v>-7.4390313678235775E-8</v>
      </c>
      <c r="FI74" s="26"/>
      <c r="FJ74" s="26">
        <v>-6.4504037748763316E-8</v>
      </c>
      <c r="FK74" s="26">
        <v>-1.1505426584971513E-7</v>
      </c>
    </row>
    <row r="75" spans="3:167" x14ac:dyDescent="0.2">
      <c r="C75" s="10">
        <f t="shared" si="33"/>
        <v>2.1355705189606735</v>
      </c>
      <c r="D75" s="10">
        <f t="shared" si="34"/>
        <v>3.2249245536537758</v>
      </c>
      <c r="E75" s="10" cm="1">
        <f t="array" ref="E75">gavg(AF75,EL75)</f>
        <v>2.5858976029093008</v>
      </c>
      <c r="F75" s="10" cm="1">
        <f t="array" ref="F75">lnstdev(AF75,EL75)</f>
        <v>0.12173225546470089</v>
      </c>
      <c r="G75" s="10">
        <f t="shared" si="35"/>
        <v>73</v>
      </c>
      <c r="H75" s="10">
        <f t="shared" si="36"/>
        <v>2.3741631866233108</v>
      </c>
      <c r="I75" s="10">
        <f t="shared" si="37"/>
        <v>2.3741631866233108</v>
      </c>
      <c r="J75" s="10"/>
      <c r="K75" s="10"/>
      <c r="L75" s="10">
        <f t="shared" si="38"/>
        <v>4</v>
      </c>
      <c r="M75" s="10">
        <f t="shared" si="39"/>
        <v>3.2249245536537758</v>
      </c>
      <c r="N75" s="10">
        <f t="shared" si="40"/>
        <v>3.2249245536537758</v>
      </c>
      <c r="O75" s="10">
        <f t="shared" si="41"/>
        <v>10</v>
      </c>
      <c r="P75" s="10">
        <f t="shared" si="42"/>
        <v>2.7418624327279657</v>
      </c>
      <c r="Q75" s="10">
        <f t="shared" si="43"/>
        <v>2.7418624327279657</v>
      </c>
      <c r="R75" s="10">
        <f t="shared" si="44"/>
        <v>19</v>
      </c>
      <c r="S75" s="10">
        <f t="shared" si="45"/>
        <v>2.5392051385242858</v>
      </c>
      <c r="T75" s="10">
        <f t="shared" si="46"/>
        <v>2.5392051385242858</v>
      </c>
      <c r="U75" s="10">
        <f t="shared" si="47"/>
        <v>27</v>
      </c>
      <c r="V75" s="10">
        <f t="shared" si="24"/>
        <v>2.1355705189606735</v>
      </c>
      <c r="W75" s="10">
        <f t="shared" si="25"/>
        <v>2.1355705189606735</v>
      </c>
      <c r="X75" s="10">
        <f t="shared" si="26"/>
        <v>13</v>
      </c>
      <c r="Y75" s="10">
        <f t="shared" si="27"/>
        <v>2.1355705189606735</v>
      </c>
      <c r="Z75" s="10">
        <f t="shared" si="28"/>
        <v>2.1355705189606735</v>
      </c>
      <c r="AA75" s="10">
        <f t="shared" si="29"/>
        <v>1</v>
      </c>
      <c r="AB75" s="10">
        <f t="shared" si="30"/>
        <v>2.1355705189606735</v>
      </c>
      <c r="AC75" s="10">
        <f t="shared" si="31"/>
        <v>2.1355705189606735</v>
      </c>
      <c r="AD75" s="10">
        <f t="shared" si="32"/>
        <v>12</v>
      </c>
      <c r="AE75" t="s">
        <v>157</v>
      </c>
      <c r="AF75" s="26"/>
      <c r="AG75" s="26"/>
      <c r="AH75" s="26"/>
      <c r="AI75" s="26"/>
      <c r="AJ75" s="26"/>
      <c r="AK75" s="26"/>
      <c r="AL75" s="26">
        <v>2.3741631866233108</v>
      </c>
      <c r="AM75" s="26">
        <v>2.3741631866233108</v>
      </c>
      <c r="AN75" s="26">
        <v>2.3741631866233108</v>
      </c>
      <c r="AO75" s="26">
        <v>2.3741631866233108</v>
      </c>
      <c r="AP75" s="26">
        <v>3.2249245536537758</v>
      </c>
      <c r="AQ75" s="26">
        <v>3.2249245536537758</v>
      </c>
      <c r="AR75" s="26">
        <v>3.2249245536537758</v>
      </c>
      <c r="AS75" s="26">
        <v>3.2249245536537758</v>
      </c>
      <c r="AT75" s="26">
        <v>3.2249245536537758</v>
      </c>
      <c r="AU75" s="26"/>
      <c r="AV75" s="26">
        <v>3.2249245536537758</v>
      </c>
      <c r="AW75" s="26"/>
      <c r="AX75" s="26"/>
      <c r="AY75" s="26"/>
      <c r="AZ75" s="26"/>
      <c r="BA75" s="26"/>
      <c r="BB75" s="26">
        <v>3.2249245536537758</v>
      </c>
      <c r="BC75" s="26"/>
      <c r="BD75" s="26"/>
      <c r="BE75" s="26"/>
      <c r="BF75" s="26"/>
      <c r="BG75" s="26"/>
      <c r="BH75" s="26"/>
      <c r="BI75" s="26">
        <v>3.2249245536537758</v>
      </c>
      <c r="BJ75" s="26">
        <v>3.2249245536537758</v>
      </c>
      <c r="BK75" s="26">
        <v>3.2249245536537758</v>
      </c>
      <c r="BL75" s="26"/>
      <c r="BM75" s="26">
        <v>2.7418624327279657</v>
      </c>
      <c r="BN75" s="26">
        <v>2.7418624327279657</v>
      </c>
      <c r="BO75" s="26"/>
      <c r="BP75" s="26">
        <v>2.7418624327279657</v>
      </c>
      <c r="BQ75" s="26">
        <v>2.7418624327279657</v>
      </c>
      <c r="BR75" s="26">
        <v>2.7418624327279657</v>
      </c>
      <c r="BS75" s="26">
        <v>2.7418624327279657</v>
      </c>
      <c r="BT75" s="26">
        <v>2.7418624327279657</v>
      </c>
      <c r="BU75" s="26">
        <v>2.7418624327279657</v>
      </c>
      <c r="BV75" s="26">
        <v>2.7418624327279657</v>
      </c>
      <c r="BW75" s="26">
        <v>2.7418624327279657</v>
      </c>
      <c r="BX75" s="26">
        <v>2.7418624327279657</v>
      </c>
      <c r="BY75" s="26">
        <v>2.7418624327279657</v>
      </c>
      <c r="BZ75" s="26">
        <v>2.7418624327279657</v>
      </c>
      <c r="CA75" s="26">
        <v>2.7418624327279657</v>
      </c>
      <c r="CB75" s="26">
        <v>2.7418624327279657</v>
      </c>
      <c r="CC75" s="26">
        <v>2.7418624327279657</v>
      </c>
      <c r="CD75" s="26">
        <v>2.7418624327279657</v>
      </c>
      <c r="CE75" s="26">
        <v>2.7418624327279657</v>
      </c>
      <c r="CF75" s="26">
        <v>2.7418624327279657</v>
      </c>
      <c r="CG75" s="26"/>
      <c r="CH75" s="26"/>
      <c r="CI75" s="26"/>
      <c r="CJ75" s="26"/>
      <c r="CK75" s="26"/>
      <c r="CL75" s="26"/>
      <c r="CM75" s="26"/>
      <c r="CN75" s="26"/>
      <c r="CO75" s="26"/>
      <c r="CP75" s="26">
        <v>2.5392051385242858</v>
      </c>
      <c r="CQ75" s="26">
        <v>2.5392051385242858</v>
      </c>
      <c r="CR75" s="26">
        <v>2.5392051385242858</v>
      </c>
      <c r="CS75" s="26">
        <v>2.5392051385242858</v>
      </c>
      <c r="CT75" s="26">
        <v>2.5392051385242858</v>
      </c>
      <c r="CU75" s="26">
        <v>2.5392051385242858</v>
      </c>
      <c r="CV75" s="26">
        <v>2.5392051385242858</v>
      </c>
      <c r="CW75" s="26">
        <v>2.5392051385242858</v>
      </c>
      <c r="CX75" s="26">
        <v>2.5392051385242858</v>
      </c>
      <c r="CY75" s="26">
        <v>2.5392051385242858</v>
      </c>
      <c r="CZ75" s="26">
        <v>2.5392051385242858</v>
      </c>
      <c r="DA75" s="26">
        <v>2.5392051385242858</v>
      </c>
      <c r="DB75" s="26">
        <v>2.5392051385242858</v>
      </c>
      <c r="DC75" s="26"/>
      <c r="DD75" s="26">
        <v>2.5392051385242858</v>
      </c>
      <c r="DE75" s="26">
        <v>2.5392051385242858</v>
      </c>
      <c r="DF75" s="26"/>
      <c r="DG75" s="26"/>
      <c r="DH75" s="26">
        <v>2.5392051385242858</v>
      </c>
      <c r="DI75" s="26">
        <v>2.5392051385242858</v>
      </c>
      <c r="DJ75" s="26">
        <v>2.5392051385242858</v>
      </c>
      <c r="DK75" s="26">
        <v>2.5392051385242858</v>
      </c>
      <c r="DL75" s="26">
        <v>2.5392051385242858</v>
      </c>
      <c r="DM75" s="26">
        <v>2.5392051385242858</v>
      </c>
      <c r="DN75" s="26">
        <v>2.5392051385242858</v>
      </c>
      <c r="DO75" s="26">
        <v>2.5392051385242858</v>
      </c>
      <c r="DP75" s="26">
        <v>2.5392051385242858</v>
      </c>
      <c r="DQ75" s="26">
        <v>2.5392051385242858</v>
      </c>
      <c r="DR75" s="26">
        <v>2.5392051385242858</v>
      </c>
      <c r="DS75" s="26">
        <v>2.5392051385242858</v>
      </c>
      <c r="DT75" s="26"/>
      <c r="DU75" s="26"/>
      <c r="DV75" s="26">
        <v>2.1355705189606735</v>
      </c>
      <c r="DW75" s="26"/>
      <c r="DX75" s="26"/>
      <c r="DY75" s="26">
        <v>2.1355705189606735</v>
      </c>
      <c r="DZ75" s="26">
        <v>2.1355705189606735</v>
      </c>
      <c r="EA75" s="26">
        <v>2.1355705189606735</v>
      </c>
      <c r="EB75" s="26">
        <v>2.1355705189606735</v>
      </c>
      <c r="EC75" s="26">
        <v>2.1355705189606735</v>
      </c>
      <c r="ED75" s="26">
        <v>2.1355705189606735</v>
      </c>
      <c r="EE75" s="26">
        <v>2.1355705189606735</v>
      </c>
      <c r="EF75" s="26">
        <v>2.1355705189606735</v>
      </c>
      <c r="EG75" s="26">
        <v>2.1355705189606735</v>
      </c>
      <c r="EH75" s="26"/>
      <c r="EI75" s="26">
        <v>2.1355705189606735</v>
      </c>
      <c r="EJ75" s="26">
        <v>2.1355705189606735</v>
      </c>
      <c r="EK75" s="26"/>
      <c r="EL75" s="26">
        <v>2.1355705189606735</v>
      </c>
      <c r="EM75" s="26">
        <v>2.1355705189606735</v>
      </c>
      <c r="EN75" s="26">
        <v>2.1355705189606735</v>
      </c>
      <c r="EO75" s="26">
        <v>2.1355705189606735</v>
      </c>
      <c r="EP75" s="26">
        <v>2.1355705189606735</v>
      </c>
      <c r="EQ75" s="26">
        <v>2.1355705189606735</v>
      </c>
      <c r="ER75" s="26">
        <v>2.1355705189606735</v>
      </c>
      <c r="ES75" s="26">
        <v>2.1355705189606735</v>
      </c>
      <c r="ET75" s="26">
        <v>2.1355705189606735</v>
      </c>
      <c r="EU75" s="26">
        <v>2.1355705189606735</v>
      </c>
      <c r="EV75" s="26">
        <v>2.1355705189606735</v>
      </c>
      <c r="EW75" s="26">
        <v>2.1355705189606735</v>
      </c>
      <c r="EX75" s="26">
        <v>2.1355705189606735</v>
      </c>
      <c r="EY75" s="26">
        <v>2.1355705189606735</v>
      </c>
      <c r="EZ75" s="26">
        <v>2.1355705189606735</v>
      </c>
      <c r="FA75" s="26">
        <v>2.1355705189606735</v>
      </c>
      <c r="FB75" s="26">
        <v>2.1355705189606735</v>
      </c>
      <c r="FC75" s="26">
        <v>2.1355705189606735</v>
      </c>
      <c r="FD75" s="26">
        <v>2.1355705189606735</v>
      </c>
      <c r="FE75" s="26">
        <v>2.1355705189606735</v>
      </c>
      <c r="FF75" s="26">
        <v>2.1355705189606735</v>
      </c>
      <c r="FG75" s="26">
        <v>2.1355705189606735</v>
      </c>
      <c r="FH75" s="26">
        <v>2.1355705189606735</v>
      </c>
      <c r="FI75" s="26"/>
      <c r="FJ75" s="26">
        <v>2.1355705189606735</v>
      </c>
      <c r="FK75" s="26">
        <v>2.1355705189606735</v>
      </c>
    </row>
    <row r="76" spans="3:167" x14ac:dyDescent="0.2">
      <c r="C76" s="10">
        <f t="shared" si="33"/>
        <v>1.2037500143051147</v>
      </c>
      <c r="D76" s="10">
        <f t="shared" si="34"/>
        <v>22.468438478747252</v>
      </c>
      <c r="E76" s="10" cm="1">
        <f t="array" ref="E76">gavg(AF76,EL76)</f>
        <v>3.8163867352249401</v>
      </c>
      <c r="F76" s="10" cm="1">
        <f t="array" ref="F76">lnstdev(AF76,EL76)</f>
        <v>0.59151344899142644</v>
      </c>
      <c r="G76" s="10">
        <f t="shared" si="35"/>
        <v>73</v>
      </c>
      <c r="H76" s="10">
        <f t="shared" si="36"/>
        <v>3.8043333333333336</v>
      </c>
      <c r="I76" s="10">
        <f t="shared" si="37"/>
        <v>3.8043333333333336</v>
      </c>
      <c r="J76" s="10"/>
      <c r="K76" s="10"/>
      <c r="L76" s="10">
        <f t="shared" si="38"/>
        <v>4</v>
      </c>
      <c r="M76" s="10">
        <f t="shared" si="39"/>
        <v>1.2037500143051147</v>
      </c>
      <c r="N76" s="10">
        <f t="shared" si="40"/>
        <v>4.815000057220459</v>
      </c>
      <c r="O76" s="10">
        <f t="shared" si="41"/>
        <v>10</v>
      </c>
      <c r="P76" s="10">
        <f t="shared" si="42"/>
        <v>1.9349906111019759</v>
      </c>
      <c r="Q76" s="10">
        <f t="shared" si="43"/>
        <v>4.3719121697060279</v>
      </c>
      <c r="R76" s="10">
        <f t="shared" si="44"/>
        <v>19</v>
      </c>
      <c r="S76" s="10">
        <f t="shared" si="45"/>
        <v>2.7576584294343824</v>
      </c>
      <c r="T76" s="10">
        <f t="shared" si="46"/>
        <v>6.5471916558018393</v>
      </c>
      <c r="U76" s="10">
        <f t="shared" si="47"/>
        <v>27</v>
      </c>
      <c r="V76" s="10">
        <f t="shared" si="24"/>
        <v>5.4941969365426813</v>
      </c>
      <c r="W76" s="10">
        <f t="shared" si="25"/>
        <v>22.468438478747252</v>
      </c>
      <c r="X76" s="10">
        <f t="shared" si="26"/>
        <v>13</v>
      </c>
      <c r="Y76" s="10">
        <f t="shared" si="27"/>
        <v>18.843136960600415</v>
      </c>
      <c r="Z76" s="10">
        <f t="shared" si="28"/>
        <v>18.843136960600415</v>
      </c>
      <c r="AA76" s="10">
        <f t="shared" si="29"/>
        <v>1</v>
      </c>
      <c r="AB76" s="10">
        <f t="shared" si="30"/>
        <v>5.4941969365426813</v>
      </c>
      <c r="AC76" s="10">
        <f t="shared" si="31"/>
        <v>22.468438478747252</v>
      </c>
      <c r="AD76" s="10">
        <f t="shared" si="32"/>
        <v>12</v>
      </c>
      <c r="AE76" s="5" t="s">
        <v>366</v>
      </c>
      <c r="AF76" s="26"/>
      <c r="AG76" s="26"/>
      <c r="AH76" s="26"/>
      <c r="AI76" s="26"/>
      <c r="AJ76" s="26"/>
      <c r="AK76" s="26"/>
      <c r="AL76" s="26">
        <v>3.8043333333333336</v>
      </c>
      <c r="AM76" s="26">
        <v>3.8043333333333336</v>
      </c>
      <c r="AN76" s="26">
        <v>3.8043333333333336</v>
      </c>
      <c r="AO76" s="26">
        <v>3.8043333333333336</v>
      </c>
      <c r="AP76" s="26">
        <v>2.4075000286102295</v>
      </c>
      <c r="AQ76" s="26">
        <v>2.4075000286102295</v>
      </c>
      <c r="AR76" s="26">
        <v>1.6050000190734863</v>
      </c>
      <c r="AS76" s="26">
        <v>1.6050000190734863</v>
      </c>
      <c r="AT76" s="26">
        <v>1.2037500143051147</v>
      </c>
      <c r="AU76" s="26"/>
      <c r="AV76" s="26">
        <v>1.6050000190734863</v>
      </c>
      <c r="AW76" s="26"/>
      <c r="AX76" s="26"/>
      <c r="AY76" s="26"/>
      <c r="AZ76" s="26"/>
      <c r="BA76" s="26"/>
      <c r="BB76" s="26">
        <v>1.2037500143051147</v>
      </c>
      <c r="BC76" s="26"/>
      <c r="BD76" s="26"/>
      <c r="BE76" s="26"/>
      <c r="BF76" s="26"/>
      <c r="BG76" s="26"/>
      <c r="BH76" s="26"/>
      <c r="BI76" s="26">
        <v>4.815000057220459</v>
      </c>
      <c r="BJ76" s="26">
        <v>2.4075000286102295</v>
      </c>
      <c r="BK76" s="26">
        <v>2.4075000286102295</v>
      </c>
      <c r="BL76" s="26"/>
      <c r="BM76" s="26">
        <v>2.8211642651297062</v>
      </c>
      <c r="BN76" s="26">
        <v>2.4622360092224054</v>
      </c>
      <c r="BO76" s="26"/>
      <c r="BP76" s="26">
        <v>4.0313411118737461</v>
      </c>
      <c r="BQ76" s="26">
        <v>3.2017792313982274</v>
      </c>
      <c r="BR76" s="26">
        <v>2.2845834305717809</v>
      </c>
      <c r="BS76" s="26">
        <v>2.7550018761726305</v>
      </c>
      <c r="BT76" s="26">
        <v>2.741500116686137</v>
      </c>
      <c r="BU76" s="26">
        <v>2.3424382851445857</v>
      </c>
      <c r="BV76" s="26">
        <v>2.2085595036661205</v>
      </c>
      <c r="BW76" s="26">
        <v>2.1029946294307371</v>
      </c>
      <c r="BX76" s="26">
        <v>2.3248224816940621</v>
      </c>
      <c r="BY76" s="26">
        <v>1.9349906111019759</v>
      </c>
      <c r="BZ76" s="26">
        <v>4.3719121697060279</v>
      </c>
      <c r="CA76" s="26">
        <v>2.2621467359907754</v>
      </c>
      <c r="CB76" s="26">
        <v>2.2686998841251635</v>
      </c>
      <c r="CC76" s="26">
        <v>2.1554730275229534</v>
      </c>
      <c r="CD76" s="26">
        <v>2.4494011676397198</v>
      </c>
      <c r="CE76" s="26">
        <v>2.4067461585740824</v>
      </c>
      <c r="CF76" s="26">
        <v>2.0480000000000169</v>
      </c>
      <c r="CG76" s="26"/>
      <c r="CH76" s="26"/>
      <c r="CI76" s="26"/>
      <c r="CJ76" s="26"/>
      <c r="CK76" s="26"/>
      <c r="CL76" s="26"/>
      <c r="CM76" s="26"/>
      <c r="CN76" s="26"/>
      <c r="CO76" s="26"/>
      <c r="CP76" s="26">
        <v>3.4412855919136613</v>
      </c>
      <c r="CQ76" s="26">
        <v>2.7576584294343824</v>
      </c>
      <c r="CR76" s="26">
        <v>6.5153370094064362</v>
      </c>
      <c r="CS76" s="26">
        <v>6.5471916558018393</v>
      </c>
      <c r="CT76" s="26">
        <v>6.1805489230769366</v>
      </c>
      <c r="CU76" s="26">
        <v>5.0054283578370402</v>
      </c>
      <c r="CV76" s="26">
        <v>4.9244383427310723</v>
      </c>
      <c r="CW76" s="26">
        <v>4.8695233939394038</v>
      </c>
      <c r="CX76" s="26">
        <v>4.5828847821127177</v>
      </c>
      <c r="CY76" s="26">
        <v>3.7329091246980188</v>
      </c>
      <c r="CZ76" s="26">
        <v>4.4127381370826102</v>
      </c>
      <c r="DA76" s="26">
        <v>5.3323026280860208</v>
      </c>
      <c r="DB76" s="26">
        <v>4.6507950914563656</v>
      </c>
      <c r="DC76" s="26"/>
      <c r="DD76" s="26">
        <v>4.2583811744753106</v>
      </c>
      <c r="DE76" s="26">
        <v>3.5320527518902836</v>
      </c>
      <c r="DF76" s="26"/>
      <c r="DG76" s="26"/>
      <c r="DH76" s="26">
        <v>4.3290482758620783</v>
      </c>
      <c r="DI76" s="26">
        <v>4.0826796747967569</v>
      </c>
      <c r="DJ76" s="26">
        <v>3.4161197278911639</v>
      </c>
      <c r="DK76" s="26">
        <v>2.8120935181296436</v>
      </c>
      <c r="DL76" s="26">
        <v>3.7785522949586237</v>
      </c>
      <c r="DM76" s="26">
        <v>3.280010450685833</v>
      </c>
      <c r="DN76" s="26">
        <v>3.7419493293591737</v>
      </c>
      <c r="DO76" s="26">
        <v>4.8308763828763936</v>
      </c>
      <c r="DP76" s="26">
        <v>3.4531174144748227</v>
      </c>
      <c r="DQ76" s="26">
        <v>4.0727461476074698</v>
      </c>
      <c r="DR76" s="26">
        <v>3.4662267471958663</v>
      </c>
      <c r="DS76" s="26">
        <v>2.8976895556837912</v>
      </c>
      <c r="DT76" s="26"/>
      <c r="DU76" s="26"/>
      <c r="DV76" s="26">
        <v>18.843136960600415</v>
      </c>
      <c r="DW76" s="26"/>
      <c r="DX76" s="26"/>
      <c r="DY76" s="26">
        <v>22.468438478747252</v>
      </c>
      <c r="DZ76" s="26">
        <v>15.607446775446808</v>
      </c>
      <c r="EA76" s="26">
        <v>10.816792676359743</v>
      </c>
      <c r="EB76" s="26">
        <v>9.9587426871591678</v>
      </c>
      <c r="EC76" s="26">
        <v>9.7225479186834658</v>
      </c>
      <c r="ED76" s="26">
        <v>7.6843091048202146</v>
      </c>
      <c r="EE76" s="26">
        <v>10.434692987013008</v>
      </c>
      <c r="EF76" s="26">
        <v>6.7292408710217897</v>
      </c>
      <c r="EG76" s="26">
        <v>6.8183245078072101</v>
      </c>
      <c r="EH76" s="26"/>
      <c r="EI76" s="26">
        <v>5.4941969365426813</v>
      </c>
      <c r="EJ76" s="26">
        <v>7.7916152055857424</v>
      </c>
      <c r="EK76" s="26"/>
      <c r="EL76" s="26">
        <v>6.498474280168244</v>
      </c>
      <c r="EM76" s="26">
        <v>5.3224122946475996</v>
      </c>
      <c r="EN76" s="26">
        <v>13.599718348002737</v>
      </c>
      <c r="EO76" s="26">
        <v>10.472775808133495</v>
      </c>
      <c r="EP76" s="26">
        <v>8.4292001678556616</v>
      </c>
      <c r="EQ76" s="26">
        <v>9.8127914020518041</v>
      </c>
      <c r="ER76" s="26">
        <v>10.50014845791952</v>
      </c>
      <c r="ES76" s="26">
        <v>8.1257216828479137</v>
      </c>
      <c r="ET76" s="26">
        <v>5.4672792596625044</v>
      </c>
      <c r="EU76" s="26">
        <v>5.2092282157676459</v>
      </c>
      <c r="EV76" s="26">
        <v>4.8577470374848959</v>
      </c>
      <c r="EW76" s="26">
        <v>11.10380541735768</v>
      </c>
      <c r="EX76" s="26">
        <v>16.159922767498024</v>
      </c>
      <c r="EY76" s="26">
        <v>12.159070217917701</v>
      </c>
      <c r="EZ76" s="26">
        <v>6.3345266477452036</v>
      </c>
      <c r="FA76" s="26">
        <v>15.194239031770076</v>
      </c>
      <c r="FB76" s="26">
        <v>22.443334078212338</v>
      </c>
      <c r="FC76" s="26">
        <v>14.76969411764709</v>
      </c>
      <c r="FD76" s="26">
        <v>10.222281933842261</v>
      </c>
      <c r="FE76" s="26">
        <v>10.295635058944152</v>
      </c>
      <c r="FF76" s="26">
        <v>10.735854623196175</v>
      </c>
      <c r="FG76" s="26">
        <v>22.594807649043915</v>
      </c>
      <c r="FH76" s="26">
        <v>13.472021462105998</v>
      </c>
      <c r="FI76" s="26"/>
      <c r="FJ76" s="26">
        <v>11.760412177985973</v>
      </c>
      <c r="FK76" s="26">
        <v>6.6031505588428807</v>
      </c>
    </row>
    <row r="77" spans="3:167" x14ac:dyDescent="0.2">
      <c r="C77" s="10">
        <f t="shared" si="33"/>
        <v>0.96299999952316284</v>
      </c>
      <c r="D77" s="10">
        <f t="shared" si="34"/>
        <v>13.051841455490605</v>
      </c>
      <c r="E77" s="10" cm="1">
        <f t="array" ref="E77">gavg(AF77,EL77)</f>
        <v>2.7700526425860512</v>
      </c>
      <c r="F77" s="10" cm="1">
        <f t="array" ref="F77">lnstdev(AF77,EL77)</f>
        <v>0.46921304030661259</v>
      </c>
      <c r="G77" s="10">
        <f t="shared" si="35"/>
        <v>73</v>
      </c>
      <c r="H77" s="10">
        <f t="shared" si="36"/>
        <v>2.8532500000000001</v>
      </c>
      <c r="I77" s="10">
        <f t="shared" si="37"/>
        <v>3.8043333333333336</v>
      </c>
      <c r="J77" s="10"/>
      <c r="K77" s="10"/>
      <c r="L77" s="10">
        <f t="shared" si="38"/>
        <v>4</v>
      </c>
      <c r="M77" s="10">
        <f t="shared" si="39"/>
        <v>0.96299999952316284</v>
      </c>
      <c r="N77" s="10">
        <f t="shared" si="40"/>
        <v>2.4075000286102295</v>
      </c>
      <c r="O77" s="10">
        <f t="shared" si="41"/>
        <v>10</v>
      </c>
      <c r="P77" s="10">
        <f t="shared" si="42"/>
        <v>1.3796039929536228</v>
      </c>
      <c r="Q77" s="10">
        <f t="shared" si="43"/>
        <v>2.6595716549694579</v>
      </c>
      <c r="R77" s="10">
        <f t="shared" si="44"/>
        <v>19</v>
      </c>
      <c r="S77" s="10">
        <f t="shared" si="45"/>
        <v>1.7848572951839383</v>
      </c>
      <c r="T77" s="10">
        <f t="shared" si="46"/>
        <v>5.5213809785596606</v>
      </c>
      <c r="U77" s="10">
        <f t="shared" si="47"/>
        <v>27</v>
      </c>
      <c r="V77" s="10">
        <f t="shared" si="24"/>
        <v>2.9396727645251053</v>
      </c>
      <c r="W77" s="10">
        <f t="shared" si="25"/>
        <v>13.051841455490605</v>
      </c>
      <c r="X77" s="10">
        <f t="shared" si="26"/>
        <v>13</v>
      </c>
      <c r="Y77" s="10">
        <f t="shared" si="27"/>
        <v>9.7131450676982798</v>
      </c>
      <c r="Z77" s="10">
        <f t="shared" si="28"/>
        <v>9.7131450676982798</v>
      </c>
      <c r="AA77" s="10">
        <f t="shared" si="29"/>
        <v>1</v>
      </c>
      <c r="AB77" s="10">
        <f t="shared" si="30"/>
        <v>2.9396727645251053</v>
      </c>
      <c r="AC77" s="10">
        <f t="shared" si="31"/>
        <v>13.051841455490605</v>
      </c>
      <c r="AD77" s="10">
        <f t="shared" si="32"/>
        <v>12</v>
      </c>
      <c r="AE77" s="5" t="s">
        <v>365</v>
      </c>
      <c r="AF77" s="26"/>
      <c r="AG77" s="26"/>
      <c r="AH77" s="26"/>
      <c r="AI77" s="26"/>
      <c r="AJ77" s="26"/>
      <c r="AK77" s="26"/>
      <c r="AL77" s="26">
        <v>3.8043333333333336</v>
      </c>
      <c r="AM77" s="26">
        <v>3.8043333333333336</v>
      </c>
      <c r="AN77" s="26">
        <v>3.8043333333333336</v>
      </c>
      <c r="AO77" s="26">
        <v>2.8532500000000001</v>
      </c>
      <c r="AP77" s="26">
        <v>2.4075000286102295</v>
      </c>
      <c r="AQ77" s="26">
        <v>1.9259999990463257</v>
      </c>
      <c r="AR77" s="26">
        <v>1.6050000190734863</v>
      </c>
      <c r="AS77" s="26">
        <v>1.9259999990463257</v>
      </c>
      <c r="AT77" s="26">
        <v>1.6050000190734863</v>
      </c>
      <c r="AU77" s="26"/>
      <c r="AV77" s="26">
        <v>1.3757143020629883</v>
      </c>
      <c r="AW77" s="26"/>
      <c r="AX77" s="26"/>
      <c r="AY77" s="26"/>
      <c r="AZ77" s="26"/>
      <c r="BA77" s="26"/>
      <c r="BB77" s="26">
        <v>0.96299999952316284</v>
      </c>
      <c r="BC77" s="26"/>
      <c r="BD77" s="26"/>
      <c r="BE77" s="26"/>
      <c r="BF77" s="26"/>
      <c r="BG77" s="26"/>
      <c r="BH77" s="26"/>
      <c r="BI77" s="26">
        <v>1.9259999990463257</v>
      </c>
      <c r="BJ77" s="26">
        <v>1.9259999990463257</v>
      </c>
      <c r="BK77" s="26">
        <v>1.9259999990463257</v>
      </c>
      <c r="BL77" s="26"/>
      <c r="BM77" s="26">
        <v>1.7087022545454684</v>
      </c>
      <c r="BN77" s="26">
        <v>2.521968226706762</v>
      </c>
      <c r="BO77" s="26"/>
      <c r="BP77" s="26">
        <v>1.9985246682545248</v>
      </c>
      <c r="BQ77" s="26">
        <v>2.1018658078368397</v>
      </c>
      <c r="BR77" s="26">
        <v>1.7780124110791731</v>
      </c>
      <c r="BS77" s="26">
        <v>1.3796039929536228</v>
      </c>
      <c r="BT77" s="26">
        <v>1.7199601756954752</v>
      </c>
      <c r="BU77" s="26">
        <v>2.6595716549694579</v>
      </c>
      <c r="BV77" s="26">
        <v>2.3532307692307883</v>
      </c>
      <c r="BW77" s="26">
        <v>2.1978162768943119</v>
      </c>
      <c r="BX77" s="26">
        <v>2.2612758421559378</v>
      </c>
      <c r="BY77" s="26">
        <v>2.4967753453772787</v>
      </c>
      <c r="BZ77" s="26">
        <v>1.9995451914893783</v>
      </c>
      <c r="CA77" s="26">
        <v>1.6861386536529492</v>
      </c>
      <c r="CB77" s="26">
        <v>2.502093290734845</v>
      </c>
      <c r="CC77" s="26">
        <v>2.0469294302143397</v>
      </c>
      <c r="CD77" s="26">
        <v>2.1022419470293658</v>
      </c>
      <c r="CE77" s="26">
        <v>2.2006983889097222</v>
      </c>
      <c r="CF77" s="26">
        <v>2.1060107565435811</v>
      </c>
      <c r="CG77" s="26"/>
      <c r="CH77" s="26"/>
      <c r="CI77" s="26"/>
      <c r="CJ77" s="26"/>
      <c r="CK77" s="26"/>
      <c r="CL77" s="26"/>
      <c r="CM77" s="26"/>
      <c r="CN77" s="26"/>
      <c r="CO77" s="26"/>
      <c r="CP77" s="26">
        <v>5.5213809785596606</v>
      </c>
      <c r="CQ77" s="26">
        <v>4.6346986617443573</v>
      </c>
      <c r="CR77" s="26">
        <v>4.3895944055944147</v>
      </c>
      <c r="CS77" s="26">
        <v>3.7799744072262031</v>
      </c>
      <c r="CT77" s="26">
        <v>3.4085837434244093</v>
      </c>
      <c r="CU77" s="26">
        <v>2.8715917083631224</v>
      </c>
      <c r="CV77" s="26">
        <v>3.4692200345423219</v>
      </c>
      <c r="CW77" s="26">
        <v>2.673959531416406</v>
      </c>
      <c r="CX77" s="26">
        <v>2.7817177676222187</v>
      </c>
      <c r="CY77" s="26">
        <v>2.5831769547325156</v>
      </c>
      <c r="CZ77" s="26">
        <v>2.6158072665711738</v>
      </c>
      <c r="DA77" s="26">
        <v>2.1543097383097427</v>
      </c>
      <c r="DB77" s="26">
        <v>2.6052897535668018</v>
      </c>
      <c r="DC77" s="26"/>
      <c r="DD77" s="26">
        <v>2.247346609979866</v>
      </c>
      <c r="DE77" s="26">
        <v>2.9609056603773647</v>
      </c>
      <c r="DF77" s="26"/>
      <c r="DG77" s="26"/>
      <c r="DH77" s="26">
        <v>2.113508417508422</v>
      </c>
      <c r="DI77" s="26">
        <v>2.6861171436212947</v>
      </c>
      <c r="DJ77" s="26">
        <v>1.8638567319291122</v>
      </c>
      <c r="DK77" s="26">
        <v>2.1584766817107286</v>
      </c>
      <c r="DL77" s="26">
        <v>2.0642055287226433</v>
      </c>
      <c r="DM77" s="26">
        <v>4.2892983130472011</v>
      </c>
      <c r="DN77" s="26">
        <v>3.23458679549115</v>
      </c>
      <c r="DO77" s="26">
        <v>3.6978615611193009</v>
      </c>
      <c r="DP77" s="26">
        <v>2.7444711026096518</v>
      </c>
      <c r="DQ77" s="26">
        <v>3.2236854437490039</v>
      </c>
      <c r="DR77" s="26">
        <v>1.7848572951839383</v>
      </c>
      <c r="DS77" s="26">
        <v>1.8475702722590179</v>
      </c>
      <c r="DT77" s="26"/>
      <c r="DU77" s="26"/>
      <c r="DV77" s="26">
        <v>9.7131450676982798</v>
      </c>
      <c r="DW77" s="26"/>
      <c r="DX77" s="26"/>
      <c r="DY77" s="26">
        <v>13.051841455490605</v>
      </c>
      <c r="DZ77" s="26">
        <v>9.4481580432737733</v>
      </c>
      <c r="EA77" s="26">
        <v>7.9300371101460891</v>
      </c>
      <c r="EB77" s="26">
        <v>5.0878378926038605</v>
      </c>
      <c r="EC77" s="26">
        <v>4.8239154658981853</v>
      </c>
      <c r="ED77" s="26">
        <v>4.6304250806823521</v>
      </c>
      <c r="EE77" s="26">
        <v>4.2305779275484507</v>
      </c>
      <c r="EF77" s="26">
        <v>4.0876646316646399</v>
      </c>
      <c r="EG77" s="26">
        <v>3.4424651242502211</v>
      </c>
      <c r="EH77" s="26"/>
      <c r="EI77" s="26">
        <v>2.9396727645251053</v>
      </c>
      <c r="EJ77" s="26">
        <v>4.4429957973899672</v>
      </c>
      <c r="EK77" s="26"/>
      <c r="EL77" s="26">
        <v>3.6601282798833896</v>
      </c>
      <c r="EM77" s="26">
        <v>12.173808484848511</v>
      </c>
      <c r="EN77" s="26">
        <v>17.886717720391847</v>
      </c>
      <c r="EO77" s="26">
        <v>14.835143279172852</v>
      </c>
      <c r="EP77" s="26">
        <v>17.72884730803181</v>
      </c>
      <c r="EQ77" s="26">
        <v>5.046930653266342</v>
      </c>
      <c r="ER77" s="26">
        <v>14.286475106685664</v>
      </c>
      <c r="ES77" s="26">
        <v>11.504458190148936</v>
      </c>
      <c r="ET77" s="26">
        <v>11.406464508801841</v>
      </c>
      <c r="EU77" s="26">
        <v>16.794969899665585</v>
      </c>
      <c r="EV77" s="26">
        <v>15.643912772585704</v>
      </c>
      <c r="EW77" s="26">
        <v>11.928019002375322</v>
      </c>
      <c r="EX77" s="26">
        <v>17.807432624113513</v>
      </c>
      <c r="EY77" s="26">
        <v>16.979530008453121</v>
      </c>
      <c r="EZ77" s="26">
        <v>16.238305578011353</v>
      </c>
      <c r="FA77" s="26">
        <v>16.879650420168105</v>
      </c>
      <c r="FB77" s="26">
        <v>15.475180277349802</v>
      </c>
      <c r="FC77" s="26">
        <v>13.094383311603679</v>
      </c>
      <c r="FD77" s="26">
        <v>17.095135319148973</v>
      </c>
      <c r="FE77" s="26">
        <v>15.547046439628515</v>
      </c>
      <c r="FF77" s="26">
        <v>14.566195794053693</v>
      </c>
      <c r="FG77" s="26">
        <v>15.39217164750961</v>
      </c>
      <c r="FH77" s="26">
        <v>15.380385911179205</v>
      </c>
      <c r="FI77" s="26"/>
      <c r="FJ77" s="26">
        <v>7.5231400749063821</v>
      </c>
      <c r="FK77" s="26">
        <v>4.0976711546307714</v>
      </c>
    </row>
    <row r="78" spans="3:167" x14ac:dyDescent="0.2">
      <c r="C78" s="10">
        <f t="shared" si="33"/>
        <v>1.2037500143051147</v>
      </c>
      <c r="D78" s="10">
        <f t="shared" si="34"/>
        <v>22.468438478747252</v>
      </c>
      <c r="E78" s="10" cm="1">
        <f t="array" ref="E78">gavg(AF78,EL78)</f>
        <v>3.5652156921919573</v>
      </c>
      <c r="F78" s="10" cm="1">
        <f t="array" ref="F78">lnstdev(AF78,EL78)</f>
        <v>0.61367069272022667</v>
      </c>
      <c r="G78" s="10">
        <f t="shared" si="35"/>
        <v>73</v>
      </c>
      <c r="H78" s="10">
        <f t="shared" si="36"/>
        <v>3.8043333333333336</v>
      </c>
      <c r="I78" s="10">
        <f t="shared" si="37"/>
        <v>3.8043333333333336</v>
      </c>
      <c r="J78" s="10"/>
      <c r="K78" s="10"/>
      <c r="L78" s="10">
        <f t="shared" si="38"/>
        <v>4</v>
      </c>
      <c r="M78" s="10">
        <f t="shared" si="39"/>
        <v>1.2037500143051147</v>
      </c>
      <c r="N78" s="10">
        <f t="shared" si="40"/>
        <v>4.815000057220459</v>
      </c>
      <c r="O78" s="10">
        <f t="shared" si="41"/>
        <v>10</v>
      </c>
      <c r="P78" s="10">
        <f t="shared" si="42"/>
        <v>1.9349906111019759</v>
      </c>
      <c r="Q78" s="10">
        <f t="shared" si="43"/>
        <v>3.2017792313982274</v>
      </c>
      <c r="R78" s="10">
        <f t="shared" si="44"/>
        <v>19</v>
      </c>
      <c r="S78" s="10">
        <f t="shared" si="45"/>
        <v>1.7848572951839383</v>
      </c>
      <c r="T78" s="10">
        <f t="shared" si="46"/>
        <v>6.5153370094064362</v>
      </c>
      <c r="U78" s="10">
        <f t="shared" si="47"/>
        <v>27</v>
      </c>
      <c r="V78" s="10">
        <f t="shared" si="24"/>
        <v>5.4941969365426813</v>
      </c>
      <c r="W78" s="10">
        <f t="shared" si="25"/>
        <v>22.468438478747252</v>
      </c>
      <c r="X78" s="10">
        <f t="shared" si="26"/>
        <v>13</v>
      </c>
      <c r="Y78" s="10">
        <f t="shared" si="27"/>
        <v>18.843136960600415</v>
      </c>
      <c r="Z78" s="10">
        <f t="shared" si="28"/>
        <v>18.843136960600415</v>
      </c>
      <c r="AA78" s="10">
        <f t="shared" si="29"/>
        <v>1</v>
      </c>
      <c r="AB78" s="10">
        <f t="shared" si="30"/>
        <v>5.4941969365426813</v>
      </c>
      <c r="AC78" s="10">
        <f t="shared" si="31"/>
        <v>22.468438478747252</v>
      </c>
      <c r="AD78" s="10">
        <f t="shared" si="32"/>
        <v>12</v>
      </c>
      <c r="AE78" t="s">
        <v>149</v>
      </c>
      <c r="AF78" s="26"/>
      <c r="AG78" s="26"/>
      <c r="AH78" s="26"/>
      <c r="AI78" s="26"/>
      <c r="AJ78" s="26"/>
      <c r="AK78" s="26"/>
      <c r="AL78" s="26">
        <v>3.8043333333333336</v>
      </c>
      <c r="AM78" s="26">
        <v>3.8043333333333336</v>
      </c>
      <c r="AN78" s="26">
        <v>3.8043333333333336</v>
      </c>
      <c r="AO78" s="26">
        <v>3.8043333333333336</v>
      </c>
      <c r="AP78" s="26">
        <v>2.4075000286102295</v>
      </c>
      <c r="AQ78" s="26">
        <v>2.4075000286102295</v>
      </c>
      <c r="AR78" s="26">
        <v>1.6050000190734863</v>
      </c>
      <c r="AS78" s="26">
        <v>1.6050000190734863</v>
      </c>
      <c r="AT78" s="26">
        <v>1.2037500143051147</v>
      </c>
      <c r="AU78" s="26"/>
      <c r="AV78" s="26">
        <v>1.6050000190734863</v>
      </c>
      <c r="AW78" s="26"/>
      <c r="AX78" s="26"/>
      <c r="AY78" s="26"/>
      <c r="AZ78" s="26"/>
      <c r="BA78" s="26"/>
      <c r="BB78" s="26">
        <v>1.2037500143051147</v>
      </c>
      <c r="BC78" s="26"/>
      <c r="BD78" s="26"/>
      <c r="BE78" s="26"/>
      <c r="BF78" s="26"/>
      <c r="BG78" s="26"/>
      <c r="BH78" s="26"/>
      <c r="BI78" s="26">
        <v>4.815000057220459</v>
      </c>
      <c r="BJ78" s="26">
        <v>2.4075000286102295</v>
      </c>
      <c r="BK78" s="26">
        <v>2.4075000286102295</v>
      </c>
      <c r="BL78" s="26"/>
      <c r="BM78" s="26">
        <v>2.8211642651297062</v>
      </c>
      <c r="BN78" s="26">
        <v>2.4622360092224054</v>
      </c>
      <c r="BO78" s="26"/>
      <c r="BP78" s="26">
        <v>1.9985246682545248</v>
      </c>
      <c r="BQ78" s="26">
        <v>3.2017792313982274</v>
      </c>
      <c r="BR78" s="26">
        <v>2.2845834305717809</v>
      </c>
      <c r="BS78" s="26">
        <v>2.7550018761726305</v>
      </c>
      <c r="BT78" s="26">
        <v>2.741500116686137</v>
      </c>
      <c r="BU78" s="26">
        <v>2.3424382851445857</v>
      </c>
      <c r="BV78" s="26">
        <v>2.2085595036661205</v>
      </c>
      <c r="BW78" s="26">
        <v>2.1029946294307371</v>
      </c>
      <c r="BX78" s="26">
        <v>2.3248224816940621</v>
      </c>
      <c r="BY78" s="26">
        <v>1.9349906111019759</v>
      </c>
      <c r="BZ78" s="26">
        <v>1.9995451914893783</v>
      </c>
      <c r="CA78" s="26">
        <v>2.2621467359907754</v>
      </c>
      <c r="CB78" s="26">
        <v>2.2686998841251635</v>
      </c>
      <c r="CC78" s="26">
        <v>2.1554730275229534</v>
      </c>
      <c r="CD78" s="26">
        <v>2.4494011676397198</v>
      </c>
      <c r="CE78" s="26">
        <v>2.4067461585740824</v>
      </c>
      <c r="CF78" s="26">
        <v>2.0480000000000169</v>
      </c>
      <c r="CG78" s="26"/>
      <c r="CH78" s="26"/>
      <c r="CI78" s="26"/>
      <c r="CJ78" s="26"/>
      <c r="CK78" s="26"/>
      <c r="CL78" s="26"/>
      <c r="CM78" s="26"/>
      <c r="CN78" s="26"/>
      <c r="CO78" s="26"/>
      <c r="CP78" s="26">
        <v>5.5213809785596606</v>
      </c>
      <c r="CQ78" s="26">
        <v>4.6346986617443573</v>
      </c>
      <c r="CR78" s="26">
        <v>6.5153370094064362</v>
      </c>
      <c r="CS78" s="26">
        <v>3.7799744072262031</v>
      </c>
      <c r="CT78" s="26">
        <v>6.1805489230769366</v>
      </c>
      <c r="CU78" s="26">
        <v>5.0054283578370402</v>
      </c>
      <c r="CV78" s="26">
        <v>4.9244383427310723</v>
      </c>
      <c r="CW78" s="26">
        <v>4.8695233939394038</v>
      </c>
      <c r="CX78" s="26">
        <v>2.7817177676222187</v>
      </c>
      <c r="CY78" s="26">
        <v>3.7329091246980188</v>
      </c>
      <c r="CZ78" s="26">
        <v>2.6158072665711738</v>
      </c>
      <c r="DA78" s="26">
        <v>5.3323026280860208</v>
      </c>
      <c r="DB78" s="26">
        <v>4.6507950914563656</v>
      </c>
      <c r="DC78" s="26"/>
      <c r="DD78" s="26">
        <v>4.2583811744753106</v>
      </c>
      <c r="DE78" s="26">
        <v>3.5320527518902836</v>
      </c>
      <c r="DF78" s="26"/>
      <c r="DG78" s="26"/>
      <c r="DH78" s="26">
        <v>2.113508417508422</v>
      </c>
      <c r="DI78" s="26">
        <v>2.6861171436212947</v>
      </c>
      <c r="DJ78" s="26">
        <v>1.8638567319291122</v>
      </c>
      <c r="DK78" s="26">
        <v>2.8120935181296436</v>
      </c>
      <c r="DL78" s="26">
        <v>3.7785522949586237</v>
      </c>
      <c r="DM78" s="26">
        <v>3.280010450685833</v>
      </c>
      <c r="DN78" s="26">
        <v>3.7419493293591737</v>
      </c>
      <c r="DO78" s="26">
        <v>3.6978615611193009</v>
      </c>
      <c r="DP78" s="26">
        <v>3.4531174144748227</v>
      </c>
      <c r="DQ78" s="26">
        <v>3.2236854437490039</v>
      </c>
      <c r="DR78" s="26">
        <v>1.7848572951839383</v>
      </c>
      <c r="DS78" s="26">
        <v>2.8976895556837912</v>
      </c>
      <c r="DT78" s="26"/>
      <c r="DU78" s="26"/>
      <c r="DV78" s="26">
        <v>18.843136960600415</v>
      </c>
      <c r="DW78" s="26"/>
      <c r="DX78" s="26"/>
      <c r="DY78" s="26">
        <v>22.468438478747252</v>
      </c>
      <c r="DZ78" s="26">
        <v>15.607446775446808</v>
      </c>
      <c r="EA78" s="26">
        <v>10.816792676359743</v>
      </c>
      <c r="EB78" s="26">
        <v>9.9587426871591678</v>
      </c>
      <c r="EC78" s="26">
        <v>9.7225479186834658</v>
      </c>
      <c r="ED78" s="26">
        <v>7.6843091048202146</v>
      </c>
      <c r="EE78" s="26">
        <v>10.434692987013008</v>
      </c>
      <c r="EF78" s="26">
        <v>6.7292408710217897</v>
      </c>
      <c r="EG78" s="26">
        <v>6.8183245078072101</v>
      </c>
      <c r="EH78" s="26"/>
      <c r="EI78" s="26">
        <v>5.4941969365426813</v>
      </c>
      <c r="EJ78" s="26">
        <v>7.7916152055857424</v>
      </c>
      <c r="EK78" s="26"/>
      <c r="EL78" s="26">
        <v>6.498474280168244</v>
      </c>
      <c r="EM78" s="26">
        <v>12.173808484848511</v>
      </c>
      <c r="EN78" s="26">
        <v>17.886717720391847</v>
      </c>
      <c r="EO78" s="26">
        <v>10.472775808133495</v>
      </c>
      <c r="EP78" s="26">
        <v>8.4292001678556616</v>
      </c>
      <c r="EQ78" s="26">
        <v>9.8127914020518041</v>
      </c>
      <c r="ER78" s="26">
        <v>14.286475106685664</v>
      </c>
      <c r="ES78" s="26">
        <v>8.1257216828479137</v>
      </c>
      <c r="ET78" s="26">
        <v>5.4672792596625044</v>
      </c>
      <c r="EU78" s="26">
        <v>5.2092282157676459</v>
      </c>
      <c r="EV78" s="26">
        <v>4.8577470374848959</v>
      </c>
      <c r="EW78" s="26">
        <v>11.928019002375322</v>
      </c>
      <c r="EX78" s="26">
        <v>16.159922767498024</v>
      </c>
      <c r="EY78" s="26">
        <v>12.159070217917701</v>
      </c>
      <c r="EZ78" s="26">
        <v>6.3345266477452036</v>
      </c>
      <c r="FA78" s="26">
        <v>16.879650420168105</v>
      </c>
      <c r="FB78" s="26">
        <v>22.443334078212338</v>
      </c>
      <c r="FC78" s="26">
        <v>14.76969411764709</v>
      </c>
      <c r="FD78" s="26">
        <v>10.222281933842261</v>
      </c>
      <c r="FE78" s="26">
        <v>10.295635058944152</v>
      </c>
      <c r="FF78" s="26">
        <v>10.735854623196175</v>
      </c>
      <c r="FG78" s="26">
        <v>22.594807649043915</v>
      </c>
      <c r="FH78" s="26">
        <v>13.472021462105998</v>
      </c>
      <c r="FI78" s="26"/>
      <c r="FJ78" s="26">
        <v>11.760412177985973</v>
      </c>
      <c r="FK78" s="26">
        <v>6.6031505588428807</v>
      </c>
    </row>
    <row r="79" spans="3:167" x14ac:dyDescent="0.2">
      <c r="C79" s="10">
        <f t="shared" si="33"/>
        <v>0.2590449106932658</v>
      </c>
      <c r="D79" s="10">
        <f t="shared" si="34"/>
        <v>2.0380893084801697</v>
      </c>
      <c r="E79" s="10" cm="1">
        <f t="array" ref="E79">gavg(AF79,EL79)</f>
        <v>1.1410856008882833</v>
      </c>
      <c r="F79" s="10" cm="1">
        <f t="array" ref="F79">lnstdev(AF79,EL79)</f>
        <v>0.50047975793968735</v>
      </c>
      <c r="G79" s="10">
        <f t="shared" si="35"/>
        <v>73</v>
      </c>
      <c r="H79" s="10">
        <f t="shared" si="36"/>
        <v>0.86856550087254003</v>
      </c>
      <c r="I79" s="10">
        <f t="shared" si="37"/>
        <v>1.0545479072544208</v>
      </c>
      <c r="J79" s="10"/>
      <c r="K79" s="10"/>
      <c r="L79" s="10">
        <f t="shared" si="38"/>
        <v>4</v>
      </c>
      <c r="M79" s="10">
        <f t="shared" si="39"/>
        <v>0.35670227841084173</v>
      </c>
      <c r="N79" s="10">
        <f t="shared" si="40"/>
        <v>0.93987942308635231</v>
      </c>
      <c r="O79" s="10">
        <f t="shared" si="41"/>
        <v>10</v>
      </c>
      <c r="P79" s="10">
        <f t="shared" si="42"/>
        <v>1.132273424027487</v>
      </c>
      <c r="Q79" s="10">
        <f t="shared" si="43"/>
        <v>2.0380893084801697</v>
      </c>
      <c r="R79" s="10">
        <f t="shared" si="44"/>
        <v>19</v>
      </c>
      <c r="S79" s="10">
        <f t="shared" si="45"/>
        <v>0.2590449106932658</v>
      </c>
      <c r="T79" s="10">
        <f t="shared" si="46"/>
        <v>1.9231153974583128</v>
      </c>
      <c r="U79" s="10">
        <f t="shared" si="47"/>
        <v>27</v>
      </c>
      <c r="V79" s="10">
        <f t="shared" si="24"/>
        <v>1.1827687529766695</v>
      </c>
      <c r="W79" s="10">
        <f t="shared" si="25"/>
        <v>1.9149651932600131</v>
      </c>
      <c r="X79" s="10">
        <f t="shared" si="26"/>
        <v>13</v>
      </c>
      <c r="Y79" s="10">
        <f t="shared" si="27"/>
        <v>1.907573846899091</v>
      </c>
      <c r="Z79" s="10">
        <f t="shared" si="28"/>
        <v>1.907573846899091</v>
      </c>
      <c r="AA79" s="10">
        <f t="shared" si="29"/>
        <v>1</v>
      </c>
      <c r="AB79" s="10">
        <f t="shared" si="30"/>
        <v>1.1827687529766695</v>
      </c>
      <c r="AC79" s="10">
        <f t="shared" si="31"/>
        <v>1.9149651932600131</v>
      </c>
      <c r="AD79" s="10">
        <f t="shared" si="32"/>
        <v>12</v>
      </c>
      <c r="AE79" s="5" t="s">
        <v>370</v>
      </c>
      <c r="AF79" s="26"/>
      <c r="AG79" s="26"/>
      <c r="AH79" s="26"/>
      <c r="AI79" s="26"/>
      <c r="AJ79" s="26"/>
      <c r="AK79" s="26"/>
      <c r="AL79" s="26">
        <v>0.86856550087254003</v>
      </c>
      <c r="AM79" s="26">
        <v>0.93508346892075878</v>
      </c>
      <c r="AN79" s="26">
        <v>0.9926940380314474</v>
      </c>
      <c r="AO79" s="26">
        <v>1.0545479072544208</v>
      </c>
      <c r="AP79" s="26">
        <v>0.35670227841084173</v>
      </c>
      <c r="AQ79" s="26">
        <v>0.49947762778981264</v>
      </c>
      <c r="AR79" s="26">
        <v>0.47609531742686972</v>
      </c>
      <c r="AS79" s="26">
        <v>0.60234823879092836</v>
      </c>
      <c r="AT79" s="26">
        <v>0.53763884374592197</v>
      </c>
      <c r="AU79" s="26"/>
      <c r="AV79" s="26">
        <v>0.89796146404832289</v>
      </c>
      <c r="AW79" s="26"/>
      <c r="AX79" s="26"/>
      <c r="AY79" s="26"/>
      <c r="AZ79" s="26"/>
      <c r="BA79" s="26"/>
      <c r="BB79" s="26">
        <v>0.93987942308635231</v>
      </c>
      <c r="BC79" s="26"/>
      <c r="BD79" s="26"/>
      <c r="BE79" s="26"/>
      <c r="BF79" s="26"/>
      <c r="BG79" s="26"/>
      <c r="BH79" s="26"/>
      <c r="BI79" s="26">
        <v>0.87080391408489899</v>
      </c>
      <c r="BJ79" s="26">
        <v>0.61478170250305575</v>
      </c>
      <c r="BK79" s="26">
        <v>0.5066564477483545</v>
      </c>
      <c r="BL79" s="26"/>
      <c r="BM79" s="26">
        <v>1.2874768583565166</v>
      </c>
      <c r="BN79" s="26">
        <v>1.6644392809072919</v>
      </c>
      <c r="BO79" s="26"/>
      <c r="BP79" s="26">
        <v>1.4664357970613873</v>
      </c>
      <c r="BQ79" s="26">
        <v>1.3659737315969938</v>
      </c>
      <c r="BR79" s="26">
        <v>1.132273424027487</v>
      </c>
      <c r="BS79" s="26">
        <v>1.4958615313421968</v>
      </c>
      <c r="BT79" s="26">
        <v>1.6060593152231324</v>
      </c>
      <c r="BU79" s="26">
        <v>1.4702580778860368</v>
      </c>
      <c r="BV79" s="26">
        <v>1.488232789702437</v>
      </c>
      <c r="BW79" s="26">
        <v>1.5559052983069828</v>
      </c>
      <c r="BX79" s="26">
        <v>1.7885358382163943</v>
      </c>
      <c r="BY79" s="26">
        <v>1.5168696751154696</v>
      </c>
      <c r="BZ79" s="26">
        <v>1.6299834831590405</v>
      </c>
      <c r="CA79" s="26">
        <v>1.4226178052379517</v>
      </c>
      <c r="CB79" s="26">
        <v>1.4322058853157473</v>
      </c>
      <c r="CC79" s="26">
        <v>1.7003751249255477</v>
      </c>
      <c r="CD79" s="26">
        <v>1.9934533343069918</v>
      </c>
      <c r="CE79" s="26">
        <v>2.0380893084801697</v>
      </c>
      <c r="CF79" s="26">
        <v>1.7979137008002555</v>
      </c>
      <c r="CG79" s="26"/>
      <c r="CH79" s="26"/>
      <c r="CI79" s="26"/>
      <c r="CJ79" s="26"/>
      <c r="CK79" s="26"/>
      <c r="CL79" s="26"/>
      <c r="CM79" s="26"/>
      <c r="CN79" s="26"/>
      <c r="CO79" s="26"/>
      <c r="CP79" s="26">
        <v>0.53124062448240916</v>
      </c>
      <c r="CQ79" s="26">
        <v>0.51270719875982496</v>
      </c>
      <c r="CR79" s="26">
        <v>1.4045075033593315</v>
      </c>
      <c r="CS79" s="26">
        <v>1.5410621026713218</v>
      </c>
      <c r="CT79" s="26">
        <v>1.5859238234457227</v>
      </c>
      <c r="CU79" s="26">
        <v>1.3991887354141559</v>
      </c>
      <c r="CV79" s="26">
        <v>1.460139674498893</v>
      </c>
      <c r="CW79" s="26">
        <v>1.4872274808220574</v>
      </c>
      <c r="CX79" s="26">
        <v>1.4559856022143778</v>
      </c>
      <c r="CY79" s="26">
        <v>1.2621917192449463</v>
      </c>
      <c r="CZ79" s="26">
        <v>1.5303518893826049</v>
      </c>
      <c r="DA79" s="26">
        <v>1.9231153974583128</v>
      </c>
      <c r="DB79" s="26">
        <v>1.7069086026424487</v>
      </c>
      <c r="DC79" s="26"/>
      <c r="DD79" s="26">
        <v>1.5713321920932366</v>
      </c>
      <c r="DE79" s="26">
        <v>0.44688158026465674</v>
      </c>
      <c r="DF79" s="26"/>
      <c r="DG79" s="26"/>
      <c r="DH79" s="26">
        <v>1.7668777826971027</v>
      </c>
      <c r="DI79" s="26">
        <v>1.7434091842153507</v>
      </c>
      <c r="DJ79" s="26">
        <v>1.5180500713061094</v>
      </c>
      <c r="DK79" s="26">
        <v>1.2952075905489406</v>
      </c>
      <c r="DL79" s="26">
        <v>1.7886101206671592</v>
      </c>
      <c r="DM79" s="26">
        <v>0.2590449106932658</v>
      </c>
      <c r="DN79" s="26">
        <v>0.4369987931704849</v>
      </c>
      <c r="DO79" s="26">
        <v>0.45640421249959778</v>
      </c>
      <c r="DP79" s="26">
        <v>0.47728257801343987</v>
      </c>
      <c r="DQ79" s="26">
        <v>0.44585947381665109</v>
      </c>
      <c r="DR79" s="26">
        <v>1.5013161954774068</v>
      </c>
      <c r="DS79" s="26">
        <v>1.3349343903482389</v>
      </c>
      <c r="DT79" s="26"/>
      <c r="DU79" s="26"/>
      <c r="DV79" s="26">
        <v>1.907573846899091</v>
      </c>
      <c r="DW79" s="26"/>
      <c r="DX79" s="26"/>
      <c r="DY79" s="26">
        <v>1.1827687529766695</v>
      </c>
      <c r="DZ79" s="26">
        <v>1.5922301088992457</v>
      </c>
      <c r="EA79" s="26">
        <v>1.3047737209534676</v>
      </c>
      <c r="EB79" s="26">
        <v>1.3445502276334358</v>
      </c>
      <c r="EC79" s="26">
        <v>1.4734878983735227</v>
      </c>
      <c r="ED79" s="26">
        <v>1.2617475500608268</v>
      </c>
      <c r="EE79" s="26">
        <v>1.8128467343100247</v>
      </c>
      <c r="EF79" s="26">
        <v>1.2759010092309353</v>
      </c>
      <c r="EG79" s="26">
        <v>1.4193221697111995</v>
      </c>
      <c r="EH79" s="26"/>
      <c r="EI79" s="26">
        <v>1.3512247749590496</v>
      </c>
      <c r="EJ79" s="26">
        <v>1.9149651932600131</v>
      </c>
      <c r="EK79" s="26"/>
      <c r="EL79" s="26">
        <v>1.4686488617348115</v>
      </c>
      <c r="EM79" s="26">
        <v>0.28974301565110278</v>
      </c>
      <c r="EN79" s="26">
        <v>1.4456462953959983</v>
      </c>
      <c r="EO79" s="26">
        <v>1.9598618350133679</v>
      </c>
      <c r="EP79" s="26">
        <v>1.820724374222999</v>
      </c>
      <c r="EQ79" s="26">
        <v>2.3454512060684376</v>
      </c>
      <c r="ER79" s="26">
        <v>0.55695252269760198</v>
      </c>
      <c r="ES79" s="26">
        <v>0.84798057643483227</v>
      </c>
      <c r="ET79" s="26">
        <v>1.0131635948172339</v>
      </c>
      <c r="EU79" s="26">
        <v>1.1173510259632924</v>
      </c>
      <c r="EV79" s="26">
        <v>1.157357517408365</v>
      </c>
      <c r="EW79" s="26">
        <v>0.58640034384429507</v>
      </c>
      <c r="EX79" s="26">
        <v>1.6780739719970283</v>
      </c>
      <c r="EY79" s="26">
        <v>2.1985258676693045</v>
      </c>
      <c r="EZ79" s="26">
        <v>1.3139615443853252</v>
      </c>
      <c r="FA79" s="26">
        <v>3.2873035647116704</v>
      </c>
      <c r="FB79" s="26">
        <v>1.1828973869419837</v>
      </c>
      <c r="FC79" s="26">
        <v>1.5122069405718799</v>
      </c>
      <c r="FD79" s="26">
        <v>1.8097950539853522</v>
      </c>
      <c r="FE79" s="26">
        <v>2.0589244410514933</v>
      </c>
      <c r="FF79" s="26">
        <v>2.33203130951587</v>
      </c>
      <c r="FG79" s="26">
        <v>1.1921018329012032</v>
      </c>
      <c r="FH79" s="26">
        <v>1.3646725974024949</v>
      </c>
      <c r="FI79" s="26"/>
      <c r="FJ79" s="26">
        <v>2.3594244346816855</v>
      </c>
      <c r="FK79" s="26">
        <v>1.620017307380301</v>
      </c>
    </row>
    <row r="80" spans="3:167" x14ac:dyDescent="0.2">
      <c r="C80" s="10">
        <f t="shared" si="33"/>
        <v>0.33875529213870598</v>
      </c>
      <c r="D80" s="10">
        <f t="shared" si="34"/>
        <v>1.9572615935443178</v>
      </c>
      <c r="E80" s="10" cm="1">
        <f t="array" ref="E80">gavg(AF80,EL80)</f>
        <v>0.82823555458437492</v>
      </c>
      <c r="F80" s="10" cm="1">
        <f t="array" ref="F80">lnstdev(AF80,EL80)</f>
        <v>0.43980874379457041</v>
      </c>
      <c r="G80" s="10">
        <f t="shared" si="35"/>
        <v>73</v>
      </c>
      <c r="H80" s="10">
        <f t="shared" si="36"/>
        <v>0.79091093044081551</v>
      </c>
      <c r="I80" s="10">
        <f t="shared" si="37"/>
        <v>0.9926940380314474</v>
      </c>
      <c r="J80" s="10"/>
      <c r="K80" s="10"/>
      <c r="L80" s="10">
        <f t="shared" si="38"/>
        <v>4</v>
      </c>
      <c r="M80" s="10">
        <f t="shared" si="39"/>
        <v>0.3483215613221044</v>
      </c>
      <c r="N80" s="10">
        <f t="shared" si="40"/>
        <v>0.76968125489856254</v>
      </c>
      <c r="O80" s="10">
        <f t="shared" si="41"/>
        <v>10</v>
      </c>
      <c r="P80" s="10">
        <f t="shared" si="42"/>
        <v>0.7269809310372376</v>
      </c>
      <c r="Q80" s="10">
        <f t="shared" si="43"/>
        <v>1.9572615935443178</v>
      </c>
      <c r="R80" s="10">
        <f t="shared" si="44"/>
        <v>19</v>
      </c>
      <c r="S80" s="10">
        <f t="shared" si="45"/>
        <v>0.33875529213870598</v>
      </c>
      <c r="T80" s="10">
        <f t="shared" si="46"/>
        <v>1.147041078676053</v>
      </c>
      <c r="U80" s="10">
        <f t="shared" si="47"/>
        <v>27</v>
      </c>
      <c r="V80" s="10">
        <f t="shared" si="24"/>
        <v>0.68691940454322187</v>
      </c>
      <c r="W80" s="10">
        <f t="shared" si="25"/>
        <v>1.0919664384482002</v>
      </c>
      <c r="X80" s="10">
        <f t="shared" si="26"/>
        <v>13</v>
      </c>
      <c r="Y80" s="10">
        <f t="shared" si="27"/>
        <v>0.98330450715398032</v>
      </c>
      <c r="Z80" s="10">
        <f t="shared" si="28"/>
        <v>0.98330450715398032</v>
      </c>
      <c r="AA80" s="10">
        <f t="shared" si="29"/>
        <v>1</v>
      </c>
      <c r="AB80" s="10">
        <f t="shared" si="30"/>
        <v>0.68691940454322187</v>
      </c>
      <c r="AC80" s="10">
        <f t="shared" si="31"/>
        <v>1.0919664384482002</v>
      </c>
      <c r="AD80" s="10">
        <f t="shared" si="32"/>
        <v>12</v>
      </c>
      <c r="AE80" s="5" t="s">
        <v>369</v>
      </c>
      <c r="AF80" s="26"/>
      <c r="AG80" s="26"/>
      <c r="AH80" s="26"/>
      <c r="AI80" s="26"/>
      <c r="AJ80" s="26"/>
      <c r="AK80" s="26"/>
      <c r="AL80" s="26">
        <v>0.86856550087254003</v>
      </c>
      <c r="AM80" s="26">
        <v>0.93508346892075878</v>
      </c>
      <c r="AN80" s="26">
        <v>0.9926940380314474</v>
      </c>
      <c r="AO80" s="26">
        <v>0.79091093044081551</v>
      </c>
      <c r="AP80" s="26">
        <v>0.35670227841084173</v>
      </c>
      <c r="AQ80" s="26">
        <v>0.39958209728544325</v>
      </c>
      <c r="AR80" s="26">
        <v>0.47609531742686972</v>
      </c>
      <c r="AS80" s="26">
        <v>0.7228178776013876</v>
      </c>
      <c r="AT80" s="26">
        <v>0.71685179166122937</v>
      </c>
      <c r="AU80" s="26"/>
      <c r="AV80" s="26">
        <v>0.76968125489856254</v>
      </c>
      <c r="AW80" s="26"/>
      <c r="AX80" s="26"/>
      <c r="AY80" s="26"/>
      <c r="AZ80" s="26"/>
      <c r="BA80" s="26"/>
      <c r="BB80" s="26">
        <v>0.75190352916130565</v>
      </c>
      <c r="BC80" s="26"/>
      <c r="BD80" s="26"/>
      <c r="BE80" s="26"/>
      <c r="BF80" s="26"/>
      <c r="BG80" s="26"/>
      <c r="BH80" s="26"/>
      <c r="BI80" s="26">
        <v>0.3483215613221044</v>
      </c>
      <c r="BJ80" s="26">
        <v>0.49182535591416304</v>
      </c>
      <c r="BK80" s="26">
        <v>0.40532515318118378</v>
      </c>
      <c r="BL80" s="26"/>
      <c r="BM80" s="26">
        <v>0.77978962010131403</v>
      </c>
      <c r="BN80" s="26">
        <v>1.7048174772882547</v>
      </c>
      <c r="BO80" s="26"/>
      <c r="BP80" s="26">
        <v>0.7269809310372376</v>
      </c>
      <c r="BQ80" s="26">
        <v>0.8967181286865934</v>
      </c>
      <c r="BR80" s="26">
        <v>0.88120931532455549</v>
      </c>
      <c r="BS80" s="26">
        <v>0.74907264470265744</v>
      </c>
      <c r="BT80" s="26">
        <v>1.0076082233866943</v>
      </c>
      <c r="BU80" s="26">
        <v>1.6693104506675285</v>
      </c>
      <c r="BV80" s="26">
        <v>1.5857191923932816</v>
      </c>
      <c r="BW80" s="26">
        <v>1.6260593070800384</v>
      </c>
      <c r="BX80" s="26">
        <v>1.7396480443710185</v>
      </c>
      <c r="BY80" s="26">
        <v>1.9572615935443178</v>
      </c>
      <c r="BZ80" s="26">
        <v>0.74549202029759021</v>
      </c>
      <c r="CA80" s="26">
        <v>1.0603781057270967</v>
      </c>
      <c r="CB80" s="26">
        <v>1.5795446377348115</v>
      </c>
      <c r="CC80" s="26">
        <v>1.6147489860331476</v>
      </c>
      <c r="CD80" s="26">
        <v>1.7109166412556072</v>
      </c>
      <c r="CE80" s="26">
        <v>1.8636032061992713</v>
      </c>
      <c r="CF80" s="26">
        <v>1.8488406216906172</v>
      </c>
      <c r="CG80" s="26"/>
      <c r="CH80" s="26"/>
      <c r="CI80" s="26"/>
      <c r="CJ80" s="26"/>
      <c r="CK80" s="26"/>
      <c r="CL80" s="26"/>
      <c r="CM80" s="26"/>
      <c r="CN80" s="26"/>
      <c r="CO80" s="26"/>
      <c r="CP80" s="26">
        <v>0.8523506116283186</v>
      </c>
      <c r="CQ80" s="26">
        <v>0.8616887945931162</v>
      </c>
      <c r="CR80" s="26">
        <v>0.94626237606136765</v>
      </c>
      <c r="CS80" s="26">
        <v>0.8897212139622912</v>
      </c>
      <c r="CT80" s="26">
        <v>0.87463981438971639</v>
      </c>
      <c r="CU80" s="26">
        <v>0.8027082766571848</v>
      </c>
      <c r="CV80" s="26">
        <v>1.0286545306184773</v>
      </c>
      <c r="CW80" s="26">
        <v>0.81666844494022717</v>
      </c>
      <c r="CX80" s="26">
        <v>0.88375362062119067</v>
      </c>
      <c r="CY80" s="26">
        <v>0.87343796826865439</v>
      </c>
      <c r="CZ80" s="26">
        <v>0.90717043892038263</v>
      </c>
      <c r="DA80" s="26">
        <v>0.77696007102375209</v>
      </c>
      <c r="DB80" s="26">
        <v>0.95617876197311746</v>
      </c>
      <c r="DC80" s="26"/>
      <c r="DD80" s="26">
        <v>0.82926537817227541</v>
      </c>
      <c r="DE80" s="26">
        <v>0.37461903699367671</v>
      </c>
      <c r="DF80" s="26"/>
      <c r="DG80" s="26"/>
      <c r="DH80" s="26">
        <v>0.86261709929656527</v>
      </c>
      <c r="DI80" s="26">
        <v>1.147041078676053</v>
      </c>
      <c r="DJ80" s="26">
        <v>0.82825781008443189</v>
      </c>
      <c r="DK80" s="26">
        <v>0.99416159674307769</v>
      </c>
      <c r="DL80" s="26">
        <v>0.97710938253690449</v>
      </c>
      <c r="DM80" s="26">
        <v>0.33875529213870598</v>
      </c>
      <c r="DN80" s="26">
        <v>0.37774710494994568</v>
      </c>
      <c r="DO80" s="26">
        <v>0.34936095647520754</v>
      </c>
      <c r="DP80" s="26">
        <v>0.37933498514881531</v>
      </c>
      <c r="DQ80" s="26">
        <v>0.35290947277543305</v>
      </c>
      <c r="DR80" s="26">
        <v>0.77306978432482409</v>
      </c>
      <c r="DS80" s="26">
        <v>0.85115573895272201</v>
      </c>
      <c r="DT80" s="26"/>
      <c r="DU80" s="26"/>
      <c r="DV80" s="26">
        <v>0.98330450715398032</v>
      </c>
      <c r="DW80" s="26"/>
      <c r="DX80" s="26"/>
      <c r="DY80" s="26">
        <v>0.68706644909755832</v>
      </c>
      <c r="DZ80" s="26">
        <v>0.96387589376920457</v>
      </c>
      <c r="EA80" s="26">
        <v>0.95655933668005899</v>
      </c>
      <c r="EB80" s="26">
        <v>0.68691940454322187</v>
      </c>
      <c r="EC80" s="26">
        <v>0.7310821320940678</v>
      </c>
      <c r="ED80" s="26">
        <v>0.76030615395550982</v>
      </c>
      <c r="EE80" s="26">
        <v>0.73498946157261968</v>
      </c>
      <c r="EF80" s="26">
        <v>0.77504365334846181</v>
      </c>
      <c r="EG80" s="26">
        <v>0.71659350676421485</v>
      </c>
      <c r="EH80" s="26"/>
      <c r="EI80" s="26">
        <v>0.72297347830386149</v>
      </c>
      <c r="EJ80" s="26">
        <v>1.0919664384482002</v>
      </c>
      <c r="EK80" s="26"/>
      <c r="EL80" s="26">
        <v>0.82718542850260612</v>
      </c>
      <c r="EM80" s="26">
        <v>0.66272129761652243</v>
      </c>
      <c r="EN80" s="26">
        <v>1.9013531418520833</v>
      </c>
      <c r="EO80" s="26">
        <v>2.7762296894797927</v>
      </c>
      <c r="EP80" s="26">
        <v>3.8294670642307205</v>
      </c>
      <c r="EQ80" s="26">
        <v>1.2063162358849475</v>
      </c>
      <c r="ER80" s="26">
        <v>0.75778817633037887</v>
      </c>
      <c r="ES80" s="26">
        <v>1.2005773109661542</v>
      </c>
      <c r="ET80" s="26">
        <v>2.1137779939571368</v>
      </c>
      <c r="EU80" s="26">
        <v>3.6024293947445276</v>
      </c>
      <c r="EV80" s="26">
        <v>3.7271599178221102</v>
      </c>
      <c r="EW80" s="26">
        <v>0.62992768528166843</v>
      </c>
      <c r="EX80" s="26">
        <v>1.8491542085038175</v>
      </c>
      <c r="EY80" s="26">
        <v>3.0701307974553602</v>
      </c>
      <c r="EZ80" s="26">
        <v>3.368287839325681</v>
      </c>
      <c r="FA80" s="26">
        <v>3.6519456407973356</v>
      </c>
      <c r="FB80" s="26">
        <v>0.81563417666646787</v>
      </c>
      <c r="FC80" s="26">
        <v>1.340678904287977</v>
      </c>
      <c r="FD80" s="26">
        <v>3.0265934307074192</v>
      </c>
      <c r="FE80" s="26">
        <v>3.1091033935692445</v>
      </c>
      <c r="FF80" s="26">
        <v>3.1640540827441566</v>
      </c>
      <c r="FG80" s="26">
        <v>0.81209082716411474</v>
      </c>
      <c r="FH80" s="26">
        <v>1.5579837999441959</v>
      </c>
      <c r="FI80" s="26"/>
      <c r="FJ80" s="26">
        <v>1.5093246945454377</v>
      </c>
      <c r="FK80" s="26">
        <v>1.005322857823516</v>
      </c>
    </row>
    <row r="81" spans="3:167" x14ac:dyDescent="0.2">
      <c r="C81" s="10">
        <f t="shared" si="33"/>
        <v>0.2590449106932658</v>
      </c>
      <c r="D81" s="10">
        <f t="shared" si="34"/>
        <v>2.0380893084801697</v>
      </c>
      <c r="E81" s="10" cm="1">
        <f t="array" ref="E81">gavg(AF81,EL81)</f>
        <v>1.0659863825832661</v>
      </c>
      <c r="F81" s="10" cm="1">
        <f t="array" ref="F81">lnstdev(AF81,EL81)</f>
        <v>0.49489564201552866</v>
      </c>
      <c r="G81" s="10">
        <f t="shared" si="35"/>
        <v>73</v>
      </c>
      <c r="H81" s="10">
        <f t="shared" si="36"/>
        <v>0.86856550087254003</v>
      </c>
      <c r="I81" s="10">
        <f t="shared" si="37"/>
        <v>1.0545479072544208</v>
      </c>
      <c r="J81" s="10"/>
      <c r="K81" s="10"/>
      <c r="L81" s="10">
        <f t="shared" si="38"/>
        <v>4</v>
      </c>
      <c r="M81" s="10">
        <f t="shared" si="39"/>
        <v>0.35670227841084173</v>
      </c>
      <c r="N81" s="10">
        <f t="shared" si="40"/>
        <v>0.93987942308635231</v>
      </c>
      <c r="O81" s="10">
        <f t="shared" si="41"/>
        <v>10</v>
      </c>
      <c r="P81" s="10">
        <f t="shared" si="42"/>
        <v>0.7269809310372376</v>
      </c>
      <c r="Q81" s="10">
        <f t="shared" si="43"/>
        <v>2.0380893084801697</v>
      </c>
      <c r="R81" s="10">
        <f t="shared" si="44"/>
        <v>19</v>
      </c>
      <c r="S81" s="10">
        <f t="shared" si="45"/>
        <v>0.2590449106932658</v>
      </c>
      <c r="T81" s="10">
        <f t="shared" si="46"/>
        <v>1.9231153974583128</v>
      </c>
      <c r="U81" s="10">
        <f t="shared" si="47"/>
        <v>27</v>
      </c>
      <c r="V81" s="10">
        <f t="shared" si="24"/>
        <v>1.1827687529766695</v>
      </c>
      <c r="W81" s="10">
        <f t="shared" si="25"/>
        <v>1.9149651932600131</v>
      </c>
      <c r="X81" s="10">
        <f t="shared" si="26"/>
        <v>13</v>
      </c>
      <c r="Y81" s="10">
        <f t="shared" si="27"/>
        <v>1.907573846899091</v>
      </c>
      <c r="Z81" s="10">
        <f t="shared" si="28"/>
        <v>1.907573846899091</v>
      </c>
      <c r="AA81" s="10">
        <f t="shared" si="29"/>
        <v>1</v>
      </c>
      <c r="AB81" s="10">
        <f t="shared" si="30"/>
        <v>1.1827687529766695</v>
      </c>
      <c r="AC81" s="10">
        <f t="shared" si="31"/>
        <v>1.9149651932600131</v>
      </c>
      <c r="AD81" s="10">
        <f t="shared" si="32"/>
        <v>12</v>
      </c>
      <c r="AE81" s="5" t="s">
        <v>505</v>
      </c>
      <c r="AF81" s="26"/>
      <c r="AG81" s="26"/>
      <c r="AH81" s="26"/>
      <c r="AI81" s="26"/>
      <c r="AJ81" s="26"/>
      <c r="AK81" s="26"/>
      <c r="AL81" s="26">
        <v>0.86856550087254003</v>
      </c>
      <c r="AM81" s="26">
        <v>0.93508346892075878</v>
      </c>
      <c r="AN81" s="26">
        <v>0.9926940380314474</v>
      </c>
      <c r="AO81" s="26">
        <v>1.0545479072544208</v>
      </c>
      <c r="AP81" s="26">
        <v>0.35670227841084173</v>
      </c>
      <c r="AQ81" s="26">
        <v>0.49947762778981264</v>
      </c>
      <c r="AR81" s="26">
        <v>0.47609531742686972</v>
      </c>
      <c r="AS81" s="26">
        <v>0.60234823879092836</v>
      </c>
      <c r="AT81" s="26">
        <v>0.53763884374592197</v>
      </c>
      <c r="AU81" s="26"/>
      <c r="AV81" s="26">
        <v>0.89796146404832289</v>
      </c>
      <c r="AW81" s="26"/>
      <c r="AX81" s="26"/>
      <c r="AY81" s="26"/>
      <c r="AZ81" s="26"/>
      <c r="BA81" s="26"/>
      <c r="BB81" s="26">
        <v>0.93987942308635231</v>
      </c>
      <c r="BC81" s="26"/>
      <c r="BD81" s="26"/>
      <c r="BE81" s="26"/>
      <c r="BF81" s="26"/>
      <c r="BG81" s="26"/>
      <c r="BH81" s="26"/>
      <c r="BI81" s="26">
        <v>0.87080391408489899</v>
      </c>
      <c r="BJ81" s="26">
        <v>0.61478170250305575</v>
      </c>
      <c r="BK81" s="26">
        <v>0.5066564477483545</v>
      </c>
      <c r="BL81" s="26"/>
      <c r="BM81" s="26">
        <v>1.2874768583565166</v>
      </c>
      <c r="BN81" s="26">
        <v>1.6644392809072919</v>
      </c>
      <c r="BO81" s="26"/>
      <c r="BP81" s="26">
        <v>0.7269809310372376</v>
      </c>
      <c r="BQ81" s="26">
        <v>1.3659737315969938</v>
      </c>
      <c r="BR81" s="26">
        <v>1.132273424027487</v>
      </c>
      <c r="BS81" s="26">
        <v>1.4958615313421968</v>
      </c>
      <c r="BT81" s="26">
        <v>1.6060593152231324</v>
      </c>
      <c r="BU81" s="26">
        <v>1.4702580778860368</v>
      </c>
      <c r="BV81" s="26">
        <v>1.488232789702437</v>
      </c>
      <c r="BW81" s="26">
        <v>1.5559052983069828</v>
      </c>
      <c r="BX81" s="26">
        <v>1.7885358382163943</v>
      </c>
      <c r="BY81" s="26">
        <v>1.5168696751154696</v>
      </c>
      <c r="BZ81" s="26">
        <v>0.74549202029759021</v>
      </c>
      <c r="CA81" s="26">
        <v>1.4226178052379517</v>
      </c>
      <c r="CB81" s="26">
        <v>1.4322058853157473</v>
      </c>
      <c r="CC81" s="26">
        <v>1.7003751249255477</v>
      </c>
      <c r="CD81" s="26">
        <v>1.9934533343069918</v>
      </c>
      <c r="CE81" s="26">
        <v>2.0380893084801697</v>
      </c>
      <c r="CF81" s="26">
        <v>1.7979137008002555</v>
      </c>
      <c r="CG81" s="26"/>
      <c r="CH81" s="26"/>
      <c r="CI81" s="26"/>
      <c r="CJ81" s="26"/>
      <c r="CK81" s="26"/>
      <c r="CL81" s="26"/>
      <c r="CM81" s="26"/>
      <c r="CN81" s="26"/>
      <c r="CO81" s="26"/>
      <c r="CP81" s="26">
        <v>0.8523506116283186</v>
      </c>
      <c r="CQ81" s="26">
        <v>0.8616887945931162</v>
      </c>
      <c r="CR81" s="26">
        <v>1.4045075033593315</v>
      </c>
      <c r="CS81" s="26">
        <v>0.8897212139622912</v>
      </c>
      <c r="CT81" s="26">
        <v>1.5859238234457227</v>
      </c>
      <c r="CU81" s="26">
        <v>1.3991887354141559</v>
      </c>
      <c r="CV81" s="26">
        <v>1.460139674498893</v>
      </c>
      <c r="CW81" s="26">
        <v>1.4872274808220574</v>
      </c>
      <c r="CX81" s="26">
        <v>0.88375362062119067</v>
      </c>
      <c r="CY81" s="26">
        <v>1.2621917192449463</v>
      </c>
      <c r="CZ81" s="26">
        <v>0.90717043892038263</v>
      </c>
      <c r="DA81" s="26">
        <v>1.9231153974583128</v>
      </c>
      <c r="DB81" s="26">
        <v>1.7069086026424487</v>
      </c>
      <c r="DC81" s="26"/>
      <c r="DD81" s="26">
        <v>1.5713321920932366</v>
      </c>
      <c r="DE81" s="26">
        <v>0.44688158026465674</v>
      </c>
      <c r="DF81" s="26"/>
      <c r="DG81" s="26"/>
      <c r="DH81" s="26">
        <v>0.86261709929656527</v>
      </c>
      <c r="DI81" s="26">
        <v>1.147041078676053</v>
      </c>
      <c r="DJ81" s="26">
        <v>0.82825781008443189</v>
      </c>
      <c r="DK81" s="26">
        <v>1.2952075905489406</v>
      </c>
      <c r="DL81" s="26">
        <v>1.7886101206671592</v>
      </c>
      <c r="DM81" s="26">
        <v>0.2590449106932658</v>
      </c>
      <c r="DN81" s="26">
        <v>0.4369987931704849</v>
      </c>
      <c r="DO81" s="26">
        <v>0.34936095647520754</v>
      </c>
      <c r="DP81" s="26">
        <v>0.47728257801343987</v>
      </c>
      <c r="DQ81" s="26">
        <v>0.35290947277543305</v>
      </c>
      <c r="DR81" s="26">
        <v>0.77306978432482409</v>
      </c>
      <c r="DS81" s="26">
        <v>1.3349343903482389</v>
      </c>
      <c r="DT81" s="26"/>
      <c r="DU81" s="26"/>
      <c r="DV81" s="26">
        <v>1.907573846899091</v>
      </c>
      <c r="DW81" s="26"/>
      <c r="DX81" s="26"/>
      <c r="DY81" s="26">
        <v>1.1827687529766695</v>
      </c>
      <c r="DZ81" s="26">
        <v>1.5922301088992457</v>
      </c>
      <c r="EA81" s="26">
        <v>1.3047737209534676</v>
      </c>
      <c r="EB81" s="26">
        <v>1.3445502276334358</v>
      </c>
      <c r="EC81" s="26">
        <v>1.4734878983735227</v>
      </c>
      <c r="ED81" s="26">
        <v>1.2617475500608268</v>
      </c>
      <c r="EE81" s="26">
        <v>1.8128467343100247</v>
      </c>
      <c r="EF81" s="26">
        <v>1.2759010092309353</v>
      </c>
      <c r="EG81" s="26">
        <v>1.4193221697111995</v>
      </c>
      <c r="EH81" s="26"/>
      <c r="EI81" s="26">
        <v>1.3512247749590496</v>
      </c>
      <c r="EJ81" s="26">
        <v>1.9149651932600131</v>
      </c>
      <c r="EK81" s="26"/>
      <c r="EL81" s="26">
        <v>1.4686488617348115</v>
      </c>
      <c r="EM81" s="26">
        <v>0.66272129761652243</v>
      </c>
      <c r="EN81" s="26">
        <v>1.9013531418520833</v>
      </c>
      <c r="EO81" s="26">
        <v>1.9598618350133679</v>
      </c>
      <c r="EP81" s="26">
        <v>1.820724374222999</v>
      </c>
      <c r="EQ81" s="26">
        <v>2.3454512060684376</v>
      </c>
      <c r="ER81" s="26">
        <v>0.75778817633037887</v>
      </c>
      <c r="ES81" s="26">
        <v>0.84798057643483227</v>
      </c>
      <c r="ET81" s="26">
        <v>1.0131635948172339</v>
      </c>
      <c r="EU81" s="26">
        <v>1.1173510259632924</v>
      </c>
      <c r="EV81" s="26">
        <v>1.157357517408365</v>
      </c>
      <c r="EW81" s="26">
        <v>0.62992768528166843</v>
      </c>
      <c r="EX81" s="26">
        <v>1.6780739719970283</v>
      </c>
      <c r="EY81" s="26">
        <v>2.1985258676693045</v>
      </c>
      <c r="EZ81" s="26">
        <v>1.3139615443853252</v>
      </c>
      <c r="FA81" s="26">
        <v>3.6519456407973356</v>
      </c>
      <c r="FB81" s="26">
        <v>1.1828973869419837</v>
      </c>
      <c r="FC81" s="26">
        <v>1.5122069405718799</v>
      </c>
      <c r="FD81" s="26">
        <v>1.8097950539853522</v>
      </c>
      <c r="FE81" s="26">
        <v>2.0589244410514933</v>
      </c>
      <c r="FF81" s="26">
        <v>2.33203130951587</v>
      </c>
      <c r="FG81" s="26">
        <v>1.1921018329012032</v>
      </c>
      <c r="FH81" s="26">
        <v>1.3646725974024949</v>
      </c>
      <c r="FI81" s="26"/>
      <c r="FJ81" s="26">
        <v>2.3594244346816855</v>
      </c>
      <c r="FK81" s="26">
        <v>1.620017307380301</v>
      </c>
    </row>
    <row r="82" spans="3:167" x14ac:dyDescent="0.2">
      <c r="C82" s="10">
        <f t="shared" si="33"/>
        <v>6.0000000000000001E-3</v>
      </c>
      <c r="D82" s="10">
        <f t="shared" si="34"/>
        <v>0.04</v>
      </c>
      <c r="E82" s="10" cm="1">
        <f t="array" ref="E82">gavg(AF82,EL82)</f>
        <v>1.3373068484577704E-2</v>
      </c>
      <c r="F82" s="10" cm="1">
        <f t="array" ref="F82">lnstdev(AF82,EL82)</f>
        <v>0.63648320872860209</v>
      </c>
      <c r="G82" s="10">
        <f t="shared" si="35"/>
        <v>73</v>
      </c>
      <c r="H82" s="10">
        <f t="shared" si="36"/>
        <v>1.6300000500000002E-2</v>
      </c>
      <c r="I82" s="10">
        <f t="shared" si="37"/>
        <v>1.6300000500000002E-2</v>
      </c>
      <c r="J82" s="10"/>
      <c r="K82" s="10"/>
      <c r="L82" s="10">
        <f t="shared" si="38"/>
        <v>4</v>
      </c>
      <c r="M82" s="10">
        <f t="shared" si="39"/>
        <v>9.9999997764825821E-3</v>
      </c>
      <c r="N82" s="10">
        <f t="shared" si="40"/>
        <v>9.9999997764825821E-3</v>
      </c>
      <c r="O82" s="10">
        <f t="shared" si="41"/>
        <v>10</v>
      </c>
      <c r="P82" s="10">
        <f t="shared" si="42"/>
        <v>6.0000000000000001E-3</v>
      </c>
      <c r="Q82" s="10">
        <f t="shared" si="43"/>
        <v>6.0000000000000001E-3</v>
      </c>
      <c r="R82" s="10">
        <f t="shared" si="44"/>
        <v>19</v>
      </c>
      <c r="S82" s="10">
        <f t="shared" si="45"/>
        <v>1.4999999999999999E-2</v>
      </c>
      <c r="T82" s="10">
        <f t="shared" si="46"/>
        <v>1.4999999999999999E-2</v>
      </c>
      <c r="U82" s="10">
        <f t="shared" si="47"/>
        <v>27</v>
      </c>
      <c r="V82" s="10">
        <f t="shared" si="24"/>
        <v>0.04</v>
      </c>
      <c r="W82" s="10">
        <f t="shared" si="25"/>
        <v>0.04</v>
      </c>
      <c r="X82" s="10">
        <f t="shared" si="26"/>
        <v>13</v>
      </c>
      <c r="Y82" s="10">
        <f t="shared" si="27"/>
        <v>0.04</v>
      </c>
      <c r="Z82" s="10">
        <f t="shared" si="28"/>
        <v>0.04</v>
      </c>
      <c r="AA82" s="10">
        <f t="shared" si="29"/>
        <v>1</v>
      </c>
      <c r="AB82" s="10">
        <f t="shared" si="30"/>
        <v>0.04</v>
      </c>
      <c r="AC82" s="10">
        <f t="shared" si="31"/>
        <v>0.04</v>
      </c>
      <c r="AD82" s="10">
        <f t="shared" si="32"/>
        <v>12</v>
      </c>
      <c r="AE82" t="s">
        <v>180</v>
      </c>
      <c r="AF82" s="26"/>
      <c r="AG82" s="26"/>
      <c r="AH82" s="26"/>
      <c r="AI82" s="26"/>
      <c r="AJ82" s="26"/>
      <c r="AK82" s="26"/>
      <c r="AL82" s="26">
        <v>1.6300000500000002E-2</v>
      </c>
      <c r="AM82" s="26">
        <v>1.6300000500000002E-2</v>
      </c>
      <c r="AN82" s="26">
        <v>1.6300000500000002E-2</v>
      </c>
      <c r="AO82" s="26">
        <v>1.6300000500000002E-2</v>
      </c>
      <c r="AP82" s="26">
        <v>9.9999997764825821E-3</v>
      </c>
      <c r="AQ82" s="26">
        <v>9.9999997764825821E-3</v>
      </c>
      <c r="AR82" s="26">
        <v>9.9999997764825821E-3</v>
      </c>
      <c r="AS82" s="26">
        <v>9.9999997764825821E-3</v>
      </c>
      <c r="AT82" s="26">
        <v>9.9999997764825821E-3</v>
      </c>
      <c r="AU82" s="26"/>
      <c r="AV82" s="26">
        <v>9.9999997764825821E-3</v>
      </c>
      <c r="AW82" s="26"/>
      <c r="AX82" s="26"/>
      <c r="AY82" s="26"/>
      <c r="AZ82" s="26"/>
      <c r="BA82" s="26"/>
      <c r="BB82" s="26">
        <v>9.9999997764825821E-3</v>
      </c>
      <c r="BC82" s="26"/>
      <c r="BD82" s="26"/>
      <c r="BE82" s="26"/>
      <c r="BF82" s="26"/>
      <c r="BG82" s="26"/>
      <c r="BH82" s="26"/>
      <c r="BI82" s="26">
        <v>9.9999997764825821E-3</v>
      </c>
      <c r="BJ82" s="26">
        <v>9.9999997764825821E-3</v>
      </c>
      <c r="BK82" s="26">
        <v>9.9999997764825821E-3</v>
      </c>
      <c r="BL82" s="26"/>
      <c r="BM82" s="26">
        <v>6.0000000000000001E-3</v>
      </c>
      <c r="BN82" s="26">
        <v>6.0000000000000001E-3</v>
      </c>
      <c r="BO82" s="26"/>
      <c r="BP82" s="26">
        <v>6.0000000000000001E-3</v>
      </c>
      <c r="BQ82" s="26">
        <v>6.0000000000000001E-3</v>
      </c>
      <c r="BR82" s="26">
        <v>6.0000000000000001E-3</v>
      </c>
      <c r="BS82" s="26">
        <v>6.0000000000000001E-3</v>
      </c>
      <c r="BT82" s="26">
        <v>6.0000000000000001E-3</v>
      </c>
      <c r="BU82" s="26">
        <v>6.0000000000000001E-3</v>
      </c>
      <c r="BV82" s="26">
        <v>6.0000000000000001E-3</v>
      </c>
      <c r="BW82" s="26">
        <v>6.0000000000000001E-3</v>
      </c>
      <c r="BX82" s="26">
        <v>6.0000000000000001E-3</v>
      </c>
      <c r="BY82" s="26">
        <v>6.0000000000000001E-3</v>
      </c>
      <c r="BZ82" s="26">
        <v>6.0000000000000001E-3</v>
      </c>
      <c r="CA82" s="26">
        <v>6.0000000000000001E-3</v>
      </c>
      <c r="CB82" s="26">
        <v>6.0000000000000001E-3</v>
      </c>
      <c r="CC82" s="26">
        <v>6.0000000000000001E-3</v>
      </c>
      <c r="CD82" s="26">
        <v>6.0000000000000001E-3</v>
      </c>
      <c r="CE82" s="26">
        <v>6.0000000000000001E-3</v>
      </c>
      <c r="CF82" s="26">
        <v>6.0000000000000001E-3</v>
      </c>
      <c r="CG82" s="26"/>
      <c r="CH82" s="26"/>
      <c r="CI82" s="26"/>
      <c r="CJ82" s="26"/>
      <c r="CK82" s="26"/>
      <c r="CL82" s="26"/>
      <c r="CM82" s="26"/>
      <c r="CN82" s="26"/>
      <c r="CO82" s="26"/>
      <c r="CP82" s="26">
        <v>1.4999999999999999E-2</v>
      </c>
      <c r="CQ82" s="26">
        <v>1.4999999999999999E-2</v>
      </c>
      <c r="CR82" s="26">
        <v>1.4999999999999999E-2</v>
      </c>
      <c r="CS82" s="26">
        <v>1.4999999999999999E-2</v>
      </c>
      <c r="CT82" s="26">
        <v>1.4999999999999999E-2</v>
      </c>
      <c r="CU82" s="26">
        <v>1.4999999999999999E-2</v>
      </c>
      <c r="CV82" s="26">
        <v>1.4999999999999999E-2</v>
      </c>
      <c r="CW82" s="26">
        <v>1.4999999999999999E-2</v>
      </c>
      <c r="CX82" s="26">
        <v>1.4999999999999999E-2</v>
      </c>
      <c r="CY82" s="26">
        <v>1.4999999999999999E-2</v>
      </c>
      <c r="CZ82" s="26">
        <v>1.4999999999999999E-2</v>
      </c>
      <c r="DA82" s="26">
        <v>1.4999999999999999E-2</v>
      </c>
      <c r="DB82" s="26">
        <v>1.4999999999999999E-2</v>
      </c>
      <c r="DC82" s="26"/>
      <c r="DD82" s="26">
        <v>1.4999999999999999E-2</v>
      </c>
      <c r="DE82" s="26">
        <v>1.4999999999999999E-2</v>
      </c>
      <c r="DF82" s="26"/>
      <c r="DG82" s="26"/>
      <c r="DH82" s="26">
        <v>1.4999999999999999E-2</v>
      </c>
      <c r="DI82" s="26">
        <v>1.4999999999999999E-2</v>
      </c>
      <c r="DJ82" s="26">
        <v>1.4999999999999999E-2</v>
      </c>
      <c r="DK82" s="26">
        <v>1.4999999999999999E-2</v>
      </c>
      <c r="DL82" s="26">
        <v>1.4999999999999999E-2</v>
      </c>
      <c r="DM82" s="26">
        <v>1.4999999999999999E-2</v>
      </c>
      <c r="DN82" s="26">
        <v>1.4999999999999999E-2</v>
      </c>
      <c r="DO82" s="26">
        <v>1.4999999999999999E-2</v>
      </c>
      <c r="DP82" s="26">
        <v>1.4999999999999999E-2</v>
      </c>
      <c r="DQ82" s="26">
        <v>1.4999999999999999E-2</v>
      </c>
      <c r="DR82" s="26">
        <v>1.4999999999999999E-2</v>
      </c>
      <c r="DS82" s="26">
        <v>1.4999999999999999E-2</v>
      </c>
      <c r="DT82" s="26"/>
      <c r="DU82" s="26"/>
      <c r="DV82" s="26">
        <v>0.04</v>
      </c>
      <c r="DW82" s="26"/>
      <c r="DX82" s="26"/>
      <c r="DY82" s="26">
        <v>0.04</v>
      </c>
      <c r="DZ82" s="26">
        <v>0.04</v>
      </c>
      <c r="EA82" s="26">
        <v>0.04</v>
      </c>
      <c r="EB82" s="26">
        <v>0.04</v>
      </c>
      <c r="EC82" s="26">
        <v>0.04</v>
      </c>
      <c r="ED82" s="26">
        <v>0.04</v>
      </c>
      <c r="EE82" s="26">
        <v>0.04</v>
      </c>
      <c r="EF82" s="26">
        <v>0.04</v>
      </c>
      <c r="EG82" s="26">
        <v>0.04</v>
      </c>
      <c r="EH82" s="26"/>
      <c r="EI82" s="26">
        <v>0.04</v>
      </c>
      <c r="EJ82" s="26">
        <v>0.04</v>
      </c>
      <c r="EK82" s="26"/>
      <c r="EL82" s="26">
        <v>0.04</v>
      </c>
      <c r="EM82" s="26">
        <v>0.04</v>
      </c>
      <c r="EN82" s="26">
        <v>0.04</v>
      </c>
      <c r="EO82" s="26">
        <v>0.04</v>
      </c>
      <c r="EP82" s="26">
        <v>0.04</v>
      </c>
      <c r="EQ82" s="26">
        <v>0.04</v>
      </c>
      <c r="ER82" s="26">
        <v>0.04</v>
      </c>
      <c r="ES82" s="26">
        <v>0.04</v>
      </c>
      <c r="ET82" s="26">
        <v>0.04</v>
      </c>
      <c r="EU82" s="26">
        <v>0.04</v>
      </c>
      <c r="EV82" s="26">
        <v>0.04</v>
      </c>
      <c r="EW82" s="26">
        <v>0.04</v>
      </c>
      <c r="EX82" s="26">
        <v>0.04</v>
      </c>
      <c r="EY82" s="26">
        <v>0.04</v>
      </c>
      <c r="EZ82" s="26">
        <v>0.04</v>
      </c>
      <c r="FA82" s="26">
        <v>0.04</v>
      </c>
      <c r="FB82" s="26">
        <v>0.04</v>
      </c>
      <c r="FC82" s="26">
        <v>0.04</v>
      </c>
      <c r="FD82" s="26">
        <v>0.04</v>
      </c>
      <c r="FE82" s="26">
        <v>0.04</v>
      </c>
      <c r="FF82" s="26">
        <v>0.04</v>
      </c>
      <c r="FG82" s="26">
        <v>0.04</v>
      </c>
      <c r="FH82" s="26">
        <v>0.04</v>
      </c>
      <c r="FI82" s="26"/>
      <c r="FJ82" s="26">
        <v>0.04</v>
      </c>
      <c r="FK82" s="26">
        <v>0.04</v>
      </c>
    </row>
    <row r="83" spans="3:167" x14ac:dyDescent="0.2">
      <c r="C83" s="10">
        <f t="shared" si="33"/>
        <v>3.3280493601070868E-2</v>
      </c>
      <c r="D83" s="10">
        <f t="shared" si="34"/>
        <v>1.597066355291761</v>
      </c>
      <c r="E83" s="10" cm="1">
        <f t="array" ref="E83">gavg(AF83,EL83)</f>
        <v>0.1767041626746331</v>
      </c>
      <c r="F83" s="10" cm="1">
        <f t="array" ref="F83">lnstdev(AF83,EL83)</f>
        <v>0.97924154549165821</v>
      </c>
      <c r="G83" s="10">
        <f t="shared" si="35"/>
        <v>73</v>
      </c>
      <c r="H83" s="10">
        <f t="shared" si="36"/>
        <v>0.58482047554729333</v>
      </c>
      <c r="I83" s="10">
        <f t="shared" si="37"/>
        <v>0.81212793455943055</v>
      </c>
      <c r="J83" s="10"/>
      <c r="K83" s="10"/>
      <c r="L83" s="10">
        <f t="shared" si="38"/>
        <v>4</v>
      </c>
      <c r="M83" s="10">
        <f t="shared" si="39"/>
        <v>6.1582561655549373E-2</v>
      </c>
      <c r="N83" s="10">
        <f t="shared" si="40"/>
        <v>0.49782741126767727</v>
      </c>
      <c r="O83" s="10">
        <f t="shared" si="41"/>
        <v>10</v>
      </c>
      <c r="P83" s="10">
        <f t="shared" si="42"/>
        <v>3.3280493601070868E-2</v>
      </c>
      <c r="Q83" s="10">
        <f t="shared" si="43"/>
        <v>0.13376071223320324</v>
      </c>
      <c r="R83" s="10">
        <f t="shared" si="44"/>
        <v>19</v>
      </c>
      <c r="S83" s="10">
        <f t="shared" si="45"/>
        <v>5.9872560912417952E-2</v>
      </c>
      <c r="T83" s="10">
        <f t="shared" si="46"/>
        <v>0.74885130670125577</v>
      </c>
      <c r="U83" s="10">
        <f t="shared" si="47"/>
        <v>27</v>
      </c>
      <c r="V83" s="10">
        <f t="shared" si="24"/>
        <v>0.24961632231975189</v>
      </c>
      <c r="W83" s="10">
        <f t="shared" si="25"/>
        <v>1.597066355291761</v>
      </c>
      <c r="X83" s="10">
        <f t="shared" si="26"/>
        <v>13</v>
      </c>
      <c r="Y83" s="10">
        <f t="shared" si="27"/>
        <v>0.79854724056265036</v>
      </c>
      <c r="Z83" s="10">
        <f t="shared" si="28"/>
        <v>0.79854724056265036</v>
      </c>
      <c r="AA83" s="10">
        <f t="shared" si="29"/>
        <v>1</v>
      </c>
      <c r="AB83" s="10">
        <f t="shared" si="30"/>
        <v>0.24961632231975189</v>
      </c>
      <c r="AC83" s="10">
        <f t="shared" si="31"/>
        <v>1.597066355291761</v>
      </c>
      <c r="AD83" s="10">
        <f t="shared" si="32"/>
        <v>12</v>
      </c>
      <c r="AE83" t="s">
        <v>183</v>
      </c>
      <c r="AF83" s="26"/>
      <c r="AG83" s="26"/>
      <c r="AH83" s="26"/>
      <c r="AI83" s="26"/>
      <c r="AJ83" s="26"/>
      <c r="AK83" s="26"/>
      <c r="AL83" s="26">
        <v>0.81212793455943055</v>
      </c>
      <c r="AM83" s="26">
        <v>0.71748922181561581</v>
      </c>
      <c r="AN83" s="26">
        <v>0.6491478719778484</v>
      </c>
      <c r="AO83" s="26">
        <v>0.58482047554729333</v>
      </c>
      <c r="AP83" s="26">
        <v>0.49782741126767727</v>
      </c>
      <c r="AQ83" s="26">
        <v>0.3495946617954227</v>
      </c>
      <c r="AR83" s="26">
        <v>0.2356624731543551</v>
      </c>
      <c r="AS83" s="26">
        <v>0.17908197065770495</v>
      </c>
      <c r="AT83" s="26">
        <v>0.14393267384127406</v>
      </c>
      <c r="AU83" s="26"/>
      <c r="AV83" s="26">
        <v>0.10357736843521961</v>
      </c>
      <c r="AW83" s="26"/>
      <c r="AX83" s="26"/>
      <c r="AY83" s="26"/>
      <c r="AZ83" s="26"/>
      <c r="BA83" s="26"/>
      <c r="BB83" s="26">
        <v>6.1582561655549373E-2</v>
      </c>
      <c r="BC83" s="26"/>
      <c r="BD83" s="26"/>
      <c r="BE83" s="26"/>
      <c r="BF83" s="26"/>
      <c r="BG83" s="26"/>
      <c r="BH83" s="26"/>
      <c r="BI83" s="26">
        <v>0.40652733989647943</v>
      </c>
      <c r="BJ83" s="26">
        <v>0.28105330437344944</v>
      </c>
      <c r="BK83" s="26">
        <v>0.34720796552343924</v>
      </c>
      <c r="BL83" s="26"/>
      <c r="BM83" s="26">
        <v>0.13376071223320324</v>
      </c>
      <c r="BN83" s="26">
        <v>6.4932918608806484E-2</v>
      </c>
      <c r="BO83" s="26"/>
      <c r="BP83" s="26">
        <v>0.11979788072039653</v>
      </c>
      <c r="BQ83" s="26">
        <v>9.9837906079072475E-2</v>
      </c>
      <c r="BR83" s="26">
        <v>8.5599969727208985E-2</v>
      </c>
      <c r="BS83" s="26">
        <v>7.4873740052182294E-2</v>
      </c>
      <c r="BT83" s="26">
        <v>6.6578191428851102E-2</v>
      </c>
      <c r="BU83" s="26">
        <v>5.9908166038145479E-2</v>
      </c>
      <c r="BV83" s="26">
        <v>5.4457665717701054E-2</v>
      </c>
      <c r="BW83" s="26">
        <v>4.6080340315013311E-2</v>
      </c>
      <c r="BX83" s="26">
        <v>4.2789694728946406E-2</v>
      </c>
      <c r="BY83" s="26">
        <v>3.9935717739494982E-2</v>
      </c>
      <c r="BZ83" s="26">
        <v>0.11977165364542587</v>
      </c>
      <c r="CA83" s="26">
        <v>5.9893352150788746E-2</v>
      </c>
      <c r="CB83" s="26">
        <v>6.1436482701368783E-2</v>
      </c>
      <c r="CC83" s="26">
        <v>4.0593957336042839E-2</v>
      </c>
      <c r="CD83" s="26">
        <v>3.7439256553459206E-2</v>
      </c>
      <c r="CE83" s="26">
        <v>3.5239443583694158E-2</v>
      </c>
      <c r="CF83" s="26">
        <v>3.3280493601070868E-2</v>
      </c>
      <c r="CG83" s="26"/>
      <c r="CH83" s="26"/>
      <c r="CI83" s="26"/>
      <c r="CJ83" s="26"/>
      <c r="CK83" s="26"/>
      <c r="CL83" s="26"/>
      <c r="CM83" s="26"/>
      <c r="CN83" s="26"/>
      <c r="CO83" s="26"/>
      <c r="CP83" s="26">
        <v>0.3743879983156439</v>
      </c>
      <c r="CQ83" s="26">
        <v>0.29949691164707909</v>
      </c>
      <c r="CR83" s="26">
        <v>0.24948608936296138</v>
      </c>
      <c r="CS83" s="26">
        <v>0.21396626390065623</v>
      </c>
      <c r="CT83" s="26">
        <v>0.18719585110513717</v>
      </c>
      <c r="CU83" s="26">
        <v>0.16638519519752609</v>
      </c>
      <c r="CV83" s="26">
        <v>0.14977957857876362</v>
      </c>
      <c r="CW83" s="26">
        <v>0.136132970049888</v>
      </c>
      <c r="CX83" s="26">
        <v>0.12480884513368565</v>
      </c>
      <c r="CY83" s="26">
        <v>0.11518054078754272</v>
      </c>
      <c r="CZ83" s="26">
        <v>0.10697732903040522</v>
      </c>
      <c r="DA83" s="26">
        <v>9.9829504009789571E-2</v>
      </c>
      <c r="DB83" s="26">
        <v>9.361172681998077E-2</v>
      </c>
      <c r="DC83" s="26"/>
      <c r="DD83" s="26">
        <v>9.3614171363713486E-2</v>
      </c>
      <c r="DE83" s="26">
        <v>0.49920557203485016</v>
      </c>
      <c r="DF83" s="26"/>
      <c r="DG83" s="26"/>
      <c r="DH83" s="26">
        <v>8.8086607318807075E-2</v>
      </c>
      <c r="DI83" s="26">
        <v>7.8806965800368514E-2</v>
      </c>
      <c r="DJ83" s="26">
        <v>7.1318811543582702E-2</v>
      </c>
      <c r="DK83" s="26">
        <v>6.5098147149847324E-2</v>
      </c>
      <c r="DL83" s="26">
        <v>5.9872560912417952E-2</v>
      </c>
      <c r="DM83" s="26">
        <v>0.74885130670125577</v>
      </c>
      <c r="DN83" s="26">
        <v>0.49914725274202165</v>
      </c>
      <c r="DO83" s="26">
        <v>0.62376531229876697</v>
      </c>
      <c r="DP83" s="26">
        <v>0.41593643000386005</v>
      </c>
      <c r="DQ83" s="26">
        <v>0.53485671293332149</v>
      </c>
      <c r="DR83" s="26">
        <v>9.9841797688618047E-2</v>
      </c>
      <c r="DS83" s="26">
        <v>8.319458326283595E-2</v>
      </c>
      <c r="DT83" s="26"/>
      <c r="DU83" s="26"/>
      <c r="DV83" s="26">
        <v>0.79854724056265036</v>
      </c>
      <c r="DW83" s="26"/>
      <c r="DX83" s="26"/>
      <c r="DY83" s="26">
        <v>1.597066355291761</v>
      </c>
      <c r="DZ83" s="26">
        <v>0.79871213670241392</v>
      </c>
      <c r="EA83" s="26">
        <v>0.66561924665027472</v>
      </c>
      <c r="EB83" s="26">
        <v>0.5704137018563451</v>
      </c>
      <c r="EC83" s="26">
        <v>0.49910621957416018</v>
      </c>
      <c r="ED83" s="26">
        <v>0.44374678061583916</v>
      </c>
      <c r="EE83" s="26">
        <v>0.39925361928253311</v>
      </c>
      <c r="EF83" s="26">
        <v>0.36300424826557193</v>
      </c>
      <c r="EG83" s="26">
        <v>0.36294460520304039</v>
      </c>
      <c r="EH83" s="26"/>
      <c r="EI83" s="26">
        <v>0.2661887589888321</v>
      </c>
      <c r="EJ83" s="26">
        <v>0.24961632231975189</v>
      </c>
      <c r="EK83" s="26"/>
      <c r="EL83" s="26">
        <v>0.33281186800133544</v>
      </c>
      <c r="EM83" s="26">
        <v>1.5969732430468555</v>
      </c>
      <c r="EN83" s="26">
        <v>0.79870823923567413</v>
      </c>
      <c r="EO83" s="26">
        <v>0.39933819775281437</v>
      </c>
      <c r="EP83" s="26">
        <v>0.3194646726833611</v>
      </c>
      <c r="EQ83" s="26">
        <v>0.26624561774353356</v>
      </c>
      <c r="ER83" s="26">
        <v>1.5970496322927903</v>
      </c>
      <c r="ES83" s="26">
        <v>0.79862535577868354</v>
      </c>
      <c r="ET83" s="26">
        <v>0.39932598392886531</v>
      </c>
      <c r="EU83" s="26">
        <v>0.31948493072948631</v>
      </c>
      <c r="EV83" s="26">
        <v>0.2662067940170329</v>
      </c>
      <c r="EW83" s="26">
        <v>1.5968976210914936</v>
      </c>
      <c r="EX83" s="26">
        <v>0.79862079388606222</v>
      </c>
      <c r="EY83" s="26">
        <v>0.39932213459055788</v>
      </c>
      <c r="EZ83" s="26">
        <v>0.31949646010401922</v>
      </c>
      <c r="FA83" s="26">
        <v>0.26623378776995454</v>
      </c>
      <c r="FB83" s="26">
        <v>1.5972915797911942</v>
      </c>
      <c r="FC83" s="26">
        <v>0.79858354038032064</v>
      </c>
      <c r="FD83" s="26">
        <v>0.39933938590785939</v>
      </c>
      <c r="FE83" s="26">
        <v>0.31944733675612513</v>
      </c>
      <c r="FF83" s="26">
        <v>0.2661898359535223</v>
      </c>
      <c r="FG83" s="26">
        <v>1.5971336308940518</v>
      </c>
      <c r="FH83" s="26">
        <v>0.7985523717502111</v>
      </c>
      <c r="FI83" s="26"/>
      <c r="FJ83" s="26">
        <v>0.31944186264367153</v>
      </c>
      <c r="FK83" s="26">
        <v>0.26614792522857733</v>
      </c>
    </row>
    <row r="84" spans="3:167" x14ac:dyDescent="0.2">
      <c r="C84" s="10">
        <f t="shared" si="33"/>
        <v>1.1390980552005625</v>
      </c>
      <c r="D84" s="10">
        <f t="shared" si="34"/>
        <v>18.996476210756349</v>
      </c>
      <c r="E84" s="10" cm="1">
        <f t="array" ref="E84">gavg(AF84,EL84)</f>
        <v>3.3445227354144658</v>
      </c>
      <c r="F84" s="10" cm="1">
        <f t="array" ref="F84">lnstdev(AF84,EL84)</f>
        <v>0.65429537816689887</v>
      </c>
      <c r="G84" s="10">
        <f t="shared" si="35"/>
        <v>73</v>
      </c>
      <c r="H84" s="10">
        <f t="shared" si="36"/>
        <v>3.6075490806654251</v>
      </c>
      <c r="I84" s="10">
        <f t="shared" si="37"/>
        <v>4.3800189271984573</v>
      </c>
      <c r="J84" s="10"/>
      <c r="K84" s="10"/>
      <c r="L84" s="10">
        <f t="shared" si="38"/>
        <v>4</v>
      </c>
      <c r="M84" s="10">
        <f t="shared" si="39"/>
        <v>1.2807494075700379</v>
      </c>
      <c r="N84" s="10">
        <f t="shared" si="40"/>
        <v>6.7493261869141321</v>
      </c>
      <c r="O84" s="10">
        <f t="shared" si="41"/>
        <v>10</v>
      </c>
      <c r="P84" s="10">
        <f t="shared" si="42"/>
        <v>1.1390980552005625</v>
      </c>
      <c r="Q84" s="10">
        <f t="shared" si="43"/>
        <v>2.7490744019971491</v>
      </c>
      <c r="R84" s="10">
        <f t="shared" si="44"/>
        <v>19</v>
      </c>
      <c r="S84" s="10">
        <f t="shared" si="45"/>
        <v>2.1125634095982906</v>
      </c>
      <c r="T84" s="10">
        <f t="shared" si="46"/>
        <v>12.661937429721142</v>
      </c>
      <c r="U84" s="10">
        <f t="shared" si="47"/>
        <v>27</v>
      </c>
      <c r="V84" s="10">
        <f t="shared" si="24"/>
        <v>4.0660865892643132</v>
      </c>
      <c r="W84" s="10">
        <f t="shared" si="25"/>
        <v>18.996476210756349</v>
      </c>
      <c r="X84" s="10">
        <f t="shared" si="26"/>
        <v>13</v>
      </c>
      <c r="Y84" s="10">
        <f t="shared" si="27"/>
        <v>9.8780642181855196</v>
      </c>
      <c r="Z84" s="10">
        <f t="shared" si="28"/>
        <v>9.8780642181855196</v>
      </c>
      <c r="AA84" s="10">
        <f t="shared" si="29"/>
        <v>1</v>
      </c>
      <c r="AB84" s="10">
        <f t="shared" si="30"/>
        <v>4.0660865892643132</v>
      </c>
      <c r="AC84" s="10">
        <f t="shared" si="31"/>
        <v>18.996476210756349</v>
      </c>
      <c r="AD84" s="10">
        <f t="shared" si="32"/>
        <v>12</v>
      </c>
      <c r="AE84" t="s">
        <v>181</v>
      </c>
      <c r="AF84" s="26"/>
      <c r="AG84" s="26"/>
      <c r="AH84" s="26"/>
      <c r="AI84" s="26"/>
      <c r="AJ84" s="26"/>
      <c r="AK84" s="26"/>
      <c r="AL84" s="26">
        <v>4.3800189271984573</v>
      </c>
      <c r="AM84" s="26">
        <v>4.0684425078374709</v>
      </c>
      <c r="AN84" s="26">
        <v>3.8323322066862424</v>
      </c>
      <c r="AO84" s="26">
        <v>3.6075490806654251</v>
      </c>
      <c r="AP84" s="26">
        <v>6.7493261869141321</v>
      </c>
      <c r="AQ84" s="26">
        <v>4.8200357626895354</v>
      </c>
      <c r="AR84" s="26">
        <v>3.3711737131714621</v>
      </c>
      <c r="AS84" s="26">
        <v>2.6645716144121949</v>
      </c>
      <c r="AT84" s="26">
        <v>2.2389565566322518</v>
      </c>
      <c r="AU84" s="26"/>
      <c r="AV84" s="26">
        <v>1.7873818458061523</v>
      </c>
      <c r="AW84" s="26"/>
      <c r="AX84" s="26"/>
      <c r="AY84" s="26"/>
      <c r="AZ84" s="26"/>
      <c r="BA84" s="26"/>
      <c r="BB84" s="26">
        <v>1.2807494075700379</v>
      </c>
      <c r="BC84" s="26"/>
      <c r="BD84" s="26"/>
      <c r="BE84" s="26"/>
      <c r="BF84" s="26"/>
      <c r="BG84" s="26"/>
      <c r="BH84" s="26"/>
      <c r="BI84" s="26">
        <v>5.5293734666780798</v>
      </c>
      <c r="BJ84" s="26">
        <v>3.9160242063291779</v>
      </c>
      <c r="BK84" s="26">
        <v>4.7517406307754788</v>
      </c>
      <c r="BL84" s="26"/>
      <c r="BM84" s="26">
        <v>2.1912349311901145</v>
      </c>
      <c r="BN84" s="26">
        <v>1.4793186134613643</v>
      </c>
      <c r="BO84" s="26"/>
      <c r="BP84" s="26">
        <v>2.7490744019971491</v>
      </c>
      <c r="BQ84" s="26">
        <v>2.3439537359587055</v>
      </c>
      <c r="BR84" s="26">
        <v>2.0176958869577075</v>
      </c>
      <c r="BS84" s="26">
        <v>1.8417492651880956</v>
      </c>
      <c r="BT84" s="26">
        <v>1.7069731427106452</v>
      </c>
      <c r="BU84" s="26">
        <v>1.5932157220401639</v>
      </c>
      <c r="BV84" s="26">
        <v>1.484014812029312</v>
      </c>
      <c r="BW84" s="26">
        <v>1.351621227666655</v>
      </c>
      <c r="BX84" s="26">
        <v>1.2998467416859123</v>
      </c>
      <c r="BY84" s="26">
        <v>1.2756472377593531</v>
      </c>
      <c r="BZ84" s="26">
        <v>2.6821818839740059</v>
      </c>
      <c r="CA84" s="26">
        <v>1.5901296382357604</v>
      </c>
      <c r="CB84" s="26">
        <v>1.5840598809053217</v>
      </c>
      <c r="CC84" s="26">
        <v>1.2676455894503471</v>
      </c>
      <c r="CD84" s="26">
        <v>1.2287226018718089</v>
      </c>
      <c r="CE84" s="26">
        <v>1.1808835601855077</v>
      </c>
      <c r="CF84" s="26">
        <v>1.1390980552005625</v>
      </c>
      <c r="CG84" s="26"/>
      <c r="CH84" s="26"/>
      <c r="CI84" s="26"/>
      <c r="CJ84" s="26"/>
      <c r="CK84" s="26"/>
      <c r="CL84" s="26"/>
      <c r="CM84" s="26"/>
      <c r="CN84" s="26"/>
      <c r="CO84" s="26"/>
      <c r="CP84" s="26">
        <v>6.4778283762965714</v>
      </c>
      <c r="CQ84" s="26">
        <v>5.3786224108122838</v>
      </c>
      <c r="CR84" s="26">
        <v>4.6388766124943528</v>
      </c>
      <c r="CS84" s="26">
        <v>4.2484930649146113</v>
      </c>
      <c r="CT84" s="26">
        <v>3.8971284948910805</v>
      </c>
      <c r="CU84" s="26">
        <v>3.5773789705042525</v>
      </c>
      <c r="CV84" s="26">
        <v>3.3725803282628397</v>
      </c>
      <c r="CW84" s="26">
        <v>3.2742290313569247</v>
      </c>
      <c r="CX84" s="26">
        <v>3.1476168274897121</v>
      </c>
      <c r="CY84" s="26">
        <v>2.9574818688646416</v>
      </c>
      <c r="CZ84" s="26">
        <v>2.8834793930060467</v>
      </c>
      <c r="DA84" s="26">
        <v>2.7727418932496009</v>
      </c>
      <c r="DB84" s="26">
        <v>2.724688998729349</v>
      </c>
      <c r="DC84" s="26"/>
      <c r="DD84" s="26">
        <v>2.7100451425249203</v>
      </c>
      <c r="DE84" s="26">
        <v>7.9037778862993084</v>
      </c>
      <c r="DF84" s="26"/>
      <c r="DG84" s="26"/>
      <c r="DH84" s="26">
        <v>2.4501118969609061</v>
      </c>
      <c r="DI84" s="26">
        <v>2.341779377876934</v>
      </c>
      <c r="DJ84" s="26">
        <v>2.2503340255120712</v>
      </c>
      <c r="DK84" s="26">
        <v>2.1711527469799723</v>
      </c>
      <c r="DL84" s="26">
        <v>2.1125634095982906</v>
      </c>
      <c r="DM84" s="26">
        <v>12.661937429721142</v>
      </c>
      <c r="DN84" s="26">
        <v>8.5628367579938356</v>
      </c>
      <c r="DO84" s="26">
        <v>10.58464459917896</v>
      </c>
      <c r="DP84" s="26">
        <v>7.2349538272431682</v>
      </c>
      <c r="DQ84" s="26">
        <v>9.1345959585514791</v>
      </c>
      <c r="DR84" s="26">
        <v>2.3087919504482755</v>
      </c>
      <c r="DS84" s="26">
        <v>2.1706606531635479</v>
      </c>
      <c r="DT84" s="26"/>
      <c r="DU84" s="26"/>
      <c r="DV84" s="26">
        <v>9.8780642181855196</v>
      </c>
      <c r="DW84" s="26"/>
      <c r="DX84" s="26"/>
      <c r="DY84" s="26">
        <v>18.996476210756349</v>
      </c>
      <c r="DZ84" s="26">
        <v>9.8022557720860366</v>
      </c>
      <c r="EA84" s="26">
        <v>8.2901674847155391</v>
      </c>
      <c r="EB84" s="26">
        <v>7.4067464959547911</v>
      </c>
      <c r="EC84" s="26">
        <v>6.5983222050316721</v>
      </c>
      <c r="ED84" s="26">
        <v>6.0902112347670236</v>
      </c>
      <c r="EE84" s="26">
        <v>5.7559708658903732</v>
      </c>
      <c r="EF84" s="26">
        <v>5.2741089021302061</v>
      </c>
      <c r="EG84" s="26">
        <v>4.8039301106630266</v>
      </c>
      <c r="EH84" s="26"/>
      <c r="EI84" s="26">
        <v>4.0660865892643132</v>
      </c>
      <c r="EJ84" s="26">
        <v>4.0688025208026852</v>
      </c>
      <c r="EK84" s="26"/>
      <c r="EL84" s="26">
        <v>4.4247978189232064</v>
      </c>
      <c r="EM84" s="26">
        <v>18.369423962428279</v>
      </c>
      <c r="EN84" s="26">
        <v>9.4073622236049363</v>
      </c>
      <c r="EO84" s="26">
        <v>5.3436296482920502</v>
      </c>
      <c r="EP84" s="26">
        <v>4.6295860522287207</v>
      </c>
      <c r="EQ84" s="26">
        <v>4.1837542288933376</v>
      </c>
      <c r="ER84" s="26">
        <v>18.852860935187088</v>
      </c>
      <c r="ES84" s="26">
        <v>9.5824384527897024</v>
      </c>
      <c r="ET84" s="26">
        <v>5.3962452733497148</v>
      </c>
      <c r="EU84" s="26">
        <v>4.6621232671949784</v>
      </c>
      <c r="EV84" s="26">
        <v>4.1972743637270344</v>
      </c>
      <c r="EW84" s="26">
        <v>18.935537016509727</v>
      </c>
      <c r="EX84" s="26">
        <v>9.6300419630885266</v>
      </c>
      <c r="EY84" s="26">
        <v>5.5305559041739834</v>
      </c>
      <c r="EZ84" s="26">
        <v>4.8209376254679599</v>
      </c>
      <c r="FA84" s="26">
        <v>4.6220979391365589</v>
      </c>
      <c r="FB84" s="26">
        <v>18.97318763737627</v>
      </c>
      <c r="FC84" s="26">
        <v>9.7669794532628913</v>
      </c>
      <c r="FD84" s="26">
        <v>5.6483091338611846</v>
      </c>
      <c r="FE84" s="26">
        <v>5.000491933393227</v>
      </c>
      <c r="FF84" s="26">
        <v>4.6036494361754263</v>
      </c>
      <c r="FG84" s="26">
        <v>18.953756319672134</v>
      </c>
      <c r="FH84" s="26">
        <v>9.8719806404470329</v>
      </c>
      <c r="FI84" s="26"/>
      <c r="FJ84" s="26">
        <v>4.9844411226387049</v>
      </c>
      <c r="FK84" s="26">
        <v>4.0759753175234339</v>
      </c>
    </row>
    <row r="85" spans="3:167" x14ac:dyDescent="0.2">
      <c r="C85" s="10">
        <f t="shared" si="33"/>
        <v>1</v>
      </c>
      <c r="D85" s="10">
        <f t="shared" si="34"/>
        <v>33</v>
      </c>
      <c r="E85" s="10" cm="1">
        <f t="array" ref="E85">gavg(AF85,EL85)</f>
        <v>8.3902390103332802</v>
      </c>
      <c r="F85" s="10" cm="1">
        <f t="array" ref="F85">lnstdev(AF85,EL85)</f>
        <v>0.93621679075431363</v>
      </c>
      <c r="G85" s="10">
        <f t="shared" si="35"/>
        <v>73</v>
      </c>
      <c r="H85" s="10">
        <f t="shared" si="36"/>
        <v>3</v>
      </c>
      <c r="I85" s="10">
        <f t="shared" si="37"/>
        <v>3</v>
      </c>
      <c r="J85" s="10"/>
      <c r="K85" s="10"/>
      <c r="L85" s="10">
        <f t="shared" si="38"/>
        <v>4</v>
      </c>
      <c r="M85" s="10">
        <f t="shared" si="39"/>
        <v>1</v>
      </c>
      <c r="N85" s="10">
        <f t="shared" si="40"/>
        <v>7</v>
      </c>
      <c r="O85" s="10">
        <f t="shared" si="41"/>
        <v>10</v>
      </c>
      <c r="P85" s="10">
        <f t="shared" si="42"/>
        <v>13</v>
      </c>
      <c r="Q85" s="10">
        <f t="shared" si="43"/>
        <v>33</v>
      </c>
      <c r="R85" s="10">
        <f t="shared" si="44"/>
        <v>19</v>
      </c>
      <c r="S85" s="10">
        <f t="shared" si="45"/>
        <v>3</v>
      </c>
      <c r="T85" s="10">
        <f t="shared" si="46"/>
        <v>17</v>
      </c>
      <c r="U85" s="10">
        <f t="shared" si="47"/>
        <v>27</v>
      </c>
      <c r="V85" s="10">
        <f t="shared" si="24"/>
        <v>1</v>
      </c>
      <c r="W85" s="10">
        <f t="shared" si="25"/>
        <v>9</v>
      </c>
      <c r="X85" s="10">
        <f t="shared" si="26"/>
        <v>13</v>
      </c>
      <c r="Y85" s="10">
        <f t="shared" si="27"/>
        <v>3</v>
      </c>
      <c r="Z85" s="10">
        <f t="shared" si="28"/>
        <v>3</v>
      </c>
      <c r="AA85" s="10">
        <f t="shared" si="29"/>
        <v>1</v>
      </c>
      <c r="AB85" s="10">
        <f t="shared" si="30"/>
        <v>1</v>
      </c>
      <c r="AC85" s="10">
        <f t="shared" si="31"/>
        <v>9</v>
      </c>
      <c r="AD85" s="10">
        <f t="shared" si="32"/>
        <v>12</v>
      </c>
      <c r="AE85" s="5" t="s">
        <v>268</v>
      </c>
      <c r="AF85" s="26"/>
      <c r="AG85" s="26"/>
      <c r="AH85" s="26"/>
      <c r="AI85" s="26"/>
      <c r="AJ85" s="26"/>
      <c r="AK85" s="26"/>
      <c r="AL85" s="26">
        <v>3</v>
      </c>
      <c r="AM85" s="26">
        <v>3</v>
      </c>
      <c r="AN85" s="26">
        <v>3</v>
      </c>
      <c r="AO85" s="26">
        <v>3</v>
      </c>
      <c r="AP85" s="26">
        <v>1</v>
      </c>
      <c r="AQ85" s="26">
        <v>1</v>
      </c>
      <c r="AR85" s="26">
        <v>3</v>
      </c>
      <c r="AS85" s="26">
        <v>3</v>
      </c>
      <c r="AT85" s="26">
        <v>5</v>
      </c>
      <c r="AU85" s="26"/>
      <c r="AV85" s="26">
        <v>5</v>
      </c>
      <c r="AW85" s="26"/>
      <c r="AX85" s="26"/>
      <c r="AY85" s="26"/>
      <c r="AZ85" s="26"/>
      <c r="BA85" s="26"/>
      <c r="BB85" s="26">
        <v>7</v>
      </c>
      <c r="BC85" s="26"/>
      <c r="BD85" s="26"/>
      <c r="BE85" s="26"/>
      <c r="BF85" s="26"/>
      <c r="BG85" s="26"/>
      <c r="BH85" s="26"/>
      <c r="BI85" s="26">
        <v>1</v>
      </c>
      <c r="BJ85" s="26">
        <v>3</v>
      </c>
      <c r="BK85" s="26">
        <v>1</v>
      </c>
      <c r="BL85" s="26"/>
      <c r="BM85" s="26">
        <v>17</v>
      </c>
      <c r="BN85" s="26">
        <v>25</v>
      </c>
      <c r="BO85" s="26"/>
      <c r="BP85" s="26">
        <v>13</v>
      </c>
      <c r="BQ85" s="26">
        <v>17</v>
      </c>
      <c r="BR85" s="26">
        <v>19</v>
      </c>
      <c r="BS85" s="26">
        <v>21</v>
      </c>
      <c r="BT85" s="26">
        <v>23</v>
      </c>
      <c r="BU85" s="26">
        <v>23</v>
      </c>
      <c r="BV85" s="26">
        <v>25</v>
      </c>
      <c r="BW85" s="26">
        <v>29</v>
      </c>
      <c r="BX85" s="26">
        <v>29</v>
      </c>
      <c r="BY85" s="26">
        <v>29</v>
      </c>
      <c r="BZ85" s="26">
        <v>15</v>
      </c>
      <c r="CA85" s="26">
        <v>23</v>
      </c>
      <c r="CB85" s="26">
        <v>23</v>
      </c>
      <c r="CC85" s="26">
        <v>29</v>
      </c>
      <c r="CD85" s="26">
        <v>31</v>
      </c>
      <c r="CE85" s="26">
        <v>33</v>
      </c>
      <c r="CF85" s="26">
        <v>33</v>
      </c>
      <c r="CG85" s="26"/>
      <c r="CH85" s="26"/>
      <c r="CI85" s="26"/>
      <c r="CJ85" s="26"/>
      <c r="CK85" s="26"/>
      <c r="CL85" s="26"/>
      <c r="CM85" s="26"/>
      <c r="CN85" s="26"/>
      <c r="CO85" s="26"/>
      <c r="CP85" s="26">
        <v>5</v>
      </c>
      <c r="CQ85" s="26">
        <v>7</v>
      </c>
      <c r="CR85" s="26">
        <v>9</v>
      </c>
      <c r="CS85" s="26">
        <v>9</v>
      </c>
      <c r="CT85" s="26">
        <v>9</v>
      </c>
      <c r="CU85" s="26">
        <v>11</v>
      </c>
      <c r="CV85" s="26">
        <v>11</v>
      </c>
      <c r="CW85" s="26">
        <v>11</v>
      </c>
      <c r="CX85" s="26">
        <v>13</v>
      </c>
      <c r="CY85" s="26">
        <v>13</v>
      </c>
      <c r="CZ85" s="26">
        <v>13</v>
      </c>
      <c r="DA85" s="26">
        <v>13</v>
      </c>
      <c r="DB85" s="26">
        <v>13</v>
      </c>
      <c r="DC85" s="26"/>
      <c r="DD85" s="26">
        <v>15</v>
      </c>
      <c r="DE85" s="26">
        <v>5</v>
      </c>
      <c r="DF85" s="26"/>
      <c r="DG85" s="26"/>
      <c r="DH85" s="26">
        <v>15</v>
      </c>
      <c r="DI85" s="26">
        <v>17</v>
      </c>
      <c r="DJ85" s="26">
        <v>17</v>
      </c>
      <c r="DK85" s="26">
        <v>17</v>
      </c>
      <c r="DL85" s="26">
        <v>17</v>
      </c>
      <c r="DM85" s="26">
        <v>3</v>
      </c>
      <c r="DN85" s="26">
        <v>5</v>
      </c>
      <c r="DO85" s="26">
        <v>3</v>
      </c>
      <c r="DP85" s="26">
        <v>5</v>
      </c>
      <c r="DQ85" s="26">
        <v>5</v>
      </c>
      <c r="DR85" s="26">
        <v>17</v>
      </c>
      <c r="DS85" s="26">
        <v>17</v>
      </c>
      <c r="DT85" s="26"/>
      <c r="DU85" s="26"/>
      <c r="DV85" s="26">
        <v>3</v>
      </c>
      <c r="DW85" s="26"/>
      <c r="DX85" s="26"/>
      <c r="DY85" s="26">
        <v>1</v>
      </c>
      <c r="DZ85" s="26">
        <v>3</v>
      </c>
      <c r="EA85" s="26">
        <v>5</v>
      </c>
      <c r="EB85" s="26">
        <v>5</v>
      </c>
      <c r="EC85" s="26">
        <v>5</v>
      </c>
      <c r="ED85" s="26">
        <v>7</v>
      </c>
      <c r="EE85" s="26">
        <v>7</v>
      </c>
      <c r="EF85" s="26">
        <v>7</v>
      </c>
      <c r="EG85" s="26">
        <v>7</v>
      </c>
      <c r="EH85" s="26"/>
      <c r="EI85" s="26">
        <v>9</v>
      </c>
      <c r="EJ85" s="26">
        <v>9</v>
      </c>
      <c r="EK85" s="26"/>
      <c r="EL85" s="26">
        <v>9</v>
      </c>
      <c r="EM85" s="26">
        <v>3</v>
      </c>
      <c r="EN85" s="26">
        <v>5</v>
      </c>
      <c r="EO85" s="26">
        <v>7</v>
      </c>
      <c r="EP85" s="26">
        <v>9</v>
      </c>
      <c r="EQ85" s="26">
        <v>9</v>
      </c>
      <c r="ER85" s="26">
        <v>3</v>
      </c>
      <c r="ES85" s="26">
        <v>3</v>
      </c>
      <c r="ET85" s="26">
        <v>7</v>
      </c>
      <c r="EU85" s="26">
        <v>9</v>
      </c>
      <c r="EV85" s="26">
        <v>9</v>
      </c>
      <c r="EW85" s="26">
        <v>3</v>
      </c>
      <c r="EX85" s="26">
        <v>3</v>
      </c>
      <c r="EY85" s="26">
        <v>7</v>
      </c>
      <c r="EZ85" s="26">
        <v>7</v>
      </c>
      <c r="FA85" s="26">
        <v>9</v>
      </c>
      <c r="FB85" s="26">
        <v>3</v>
      </c>
      <c r="FC85" s="26">
        <v>3</v>
      </c>
      <c r="FD85" s="26">
        <v>7</v>
      </c>
      <c r="FE85" s="26">
        <v>7</v>
      </c>
      <c r="FF85" s="26">
        <v>9</v>
      </c>
      <c r="FG85" s="26">
        <v>3</v>
      </c>
      <c r="FH85" s="26">
        <v>3</v>
      </c>
      <c r="FI85" s="26"/>
      <c r="FJ85" s="26">
        <v>7</v>
      </c>
      <c r="FK85" s="26">
        <v>9</v>
      </c>
    </row>
    <row r="86" spans="3:167" x14ac:dyDescent="0.2">
      <c r="C86" s="10">
        <f t="shared" si="33"/>
        <v>1.4268091136433669</v>
      </c>
      <c r="D86" s="10">
        <f t="shared" si="34"/>
        <v>33.359726870316962</v>
      </c>
      <c r="E86" s="10" cm="1">
        <f t="array" ref="E86">gavg(AF86,EL86)</f>
        <v>8.8137411414374149</v>
      </c>
      <c r="F86" s="10" cm="1">
        <f t="array" ref="F86">lnstdev(AF86,EL86)</f>
        <v>0.85003942788309217</v>
      </c>
      <c r="G86" s="10">
        <f t="shared" si="35"/>
        <v>73</v>
      </c>
      <c r="H86" s="10">
        <f t="shared" si="36"/>
        <v>2.60569650261762</v>
      </c>
      <c r="I86" s="10">
        <f t="shared" si="37"/>
        <v>3.163643721763262</v>
      </c>
      <c r="J86" s="10"/>
      <c r="K86" s="10"/>
      <c r="L86" s="10">
        <f t="shared" si="38"/>
        <v>4</v>
      </c>
      <c r="M86" s="10">
        <f t="shared" si="39"/>
        <v>1.4268091136433669</v>
      </c>
      <c r="N86" s="10">
        <f t="shared" si="40"/>
        <v>7.5190353846908184</v>
      </c>
      <c r="O86" s="10">
        <f t="shared" si="41"/>
        <v>10</v>
      </c>
      <c r="P86" s="10">
        <f t="shared" si="42"/>
        <v>13.822834322851989</v>
      </c>
      <c r="Q86" s="10">
        <f t="shared" si="43"/>
        <v>33.359726870316962</v>
      </c>
      <c r="R86" s="10">
        <f t="shared" si="44"/>
        <v>19</v>
      </c>
      <c r="S86" s="10">
        <f t="shared" si="45"/>
        <v>3.0011205007855488</v>
      </c>
      <c r="T86" s="10">
        <f t="shared" si="46"/>
        <v>17.98762575710132</v>
      </c>
      <c r="U86" s="10">
        <f t="shared" si="47"/>
        <v>27</v>
      </c>
      <c r="V86" s="10">
        <f t="shared" si="24"/>
        <v>2.0003709939890491</v>
      </c>
      <c r="W86" s="10">
        <f t="shared" si="25"/>
        <v>9.3455953693488443</v>
      </c>
      <c r="X86" s="10">
        <f t="shared" si="26"/>
        <v>13</v>
      </c>
      <c r="Y86" s="10">
        <f t="shared" si="27"/>
        <v>3.8469075681895233</v>
      </c>
      <c r="Z86" s="10">
        <f t="shared" si="28"/>
        <v>3.8469075681895233</v>
      </c>
      <c r="AA86" s="10">
        <f t="shared" si="29"/>
        <v>1</v>
      </c>
      <c r="AB86" s="10">
        <f t="shared" si="30"/>
        <v>2.0003709939890491</v>
      </c>
      <c r="AC86" s="10">
        <f t="shared" si="31"/>
        <v>9.3455953693488443</v>
      </c>
      <c r="AD86" s="10">
        <f t="shared" si="32"/>
        <v>12</v>
      </c>
      <c r="AE86" t="s">
        <v>198</v>
      </c>
      <c r="AF86" s="26"/>
      <c r="AG86" s="26"/>
      <c r="AH86" s="26"/>
      <c r="AI86" s="26"/>
      <c r="AJ86" s="26"/>
      <c r="AK86" s="26"/>
      <c r="AL86" s="26">
        <v>2.60569650261762</v>
      </c>
      <c r="AM86" s="26">
        <v>2.8052504067622763</v>
      </c>
      <c r="AN86" s="26">
        <v>2.9780821140943421</v>
      </c>
      <c r="AO86" s="26">
        <v>3.163643721763262</v>
      </c>
      <c r="AP86" s="26">
        <v>1.4268091136433669</v>
      </c>
      <c r="AQ86" s="26">
        <v>1.9979105111592506</v>
      </c>
      <c r="AR86" s="26">
        <v>2.8565719045612186</v>
      </c>
      <c r="AS86" s="26">
        <v>3.6140894327455704</v>
      </c>
      <c r="AT86" s="26">
        <v>4.3011107499673757</v>
      </c>
      <c r="AU86" s="26"/>
      <c r="AV86" s="26">
        <v>5.3877687842899373</v>
      </c>
      <c r="AW86" s="26"/>
      <c r="AX86" s="26"/>
      <c r="AY86" s="26"/>
      <c r="AZ86" s="26"/>
      <c r="BA86" s="26"/>
      <c r="BB86" s="26">
        <v>7.5190353846908184</v>
      </c>
      <c r="BC86" s="26"/>
      <c r="BD86" s="26"/>
      <c r="BE86" s="26"/>
      <c r="BF86" s="26"/>
      <c r="BG86" s="26"/>
      <c r="BH86" s="26"/>
      <c r="BI86" s="26">
        <v>1.741607828169798</v>
      </c>
      <c r="BJ86" s="26">
        <v>2.459126810012223</v>
      </c>
      <c r="BK86" s="26">
        <v>2.026625790993418</v>
      </c>
      <c r="BL86" s="26"/>
      <c r="BM86" s="26">
        <v>17.341819199350411</v>
      </c>
      <c r="BN86" s="26">
        <v>25.687502106855938</v>
      </c>
      <c r="BO86" s="26"/>
      <c r="BP86" s="26">
        <v>13.822834322851989</v>
      </c>
      <c r="BQ86" s="26">
        <v>16.211924073858711</v>
      </c>
      <c r="BR86" s="26">
        <v>18.833363464548963</v>
      </c>
      <c r="BS86" s="26">
        <v>20.63255879519469</v>
      </c>
      <c r="BT86" s="26">
        <v>22.261627350303019</v>
      </c>
      <c r="BU86" s="26">
        <v>23.851132947231889</v>
      </c>
      <c r="BV86" s="26">
        <v>25.606213423191516</v>
      </c>
      <c r="BW86" s="26">
        <v>28.114385319029473</v>
      </c>
      <c r="BX86" s="26">
        <v>29.234215682007001</v>
      </c>
      <c r="BY86" s="26">
        <v>29.788799658082734</v>
      </c>
      <c r="BZ86" s="26">
        <v>14.167570151394056</v>
      </c>
      <c r="CA86" s="26">
        <v>23.897422629113926</v>
      </c>
      <c r="CB86" s="26">
        <v>23.98899211959225</v>
      </c>
      <c r="CC86" s="26">
        <v>29.976832891026625</v>
      </c>
      <c r="CD86" s="26">
        <v>30.926427122046618</v>
      </c>
      <c r="CE86" s="26">
        <v>32.179294624129149</v>
      </c>
      <c r="CF86" s="26">
        <v>33.359726870316962</v>
      </c>
      <c r="CG86" s="26"/>
      <c r="CH86" s="26"/>
      <c r="CI86" s="26"/>
      <c r="CJ86" s="26"/>
      <c r="CK86" s="26"/>
      <c r="CL86" s="26"/>
      <c r="CM86" s="26"/>
      <c r="CN86" s="26"/>
      <c r="CO86" s="26"/>
      <c r="CP86" s="26">
        <v>5.8661634412927928</v>
      </c>
      <c r="CQ86" s="26">
        <v>7.0650060736018858</v>
      </c>
      <c r="CR86" s="26">
        <v>8.1916384448878805</v>
      </c>
      <c r="CS86" s="26">
        <v>8.9443478945078017</v>
      </c>
      <c r="CT86" s="26">
        <v>9.7507690726174143</v>
      </c>
      <c r="CU86" s="26">
        <v>10.622302057822987</v>
      </c>
      <c r="CV86" s="26">
        <v>11.267337261488793</v>
      </c>
      <c r="CW86" s="26">
        <v>11.605785556257139</v>
      </c>
      <c r="CX86" s="26">
        <v>12.072625761854809</v>
      </c>
      <c r="CY86" s="26">
        <v>12.848768541931234</v>
      </c>
      <c r="CZ86" s="26">
        <v>13.178523173139359</v>
      </c>
      <c r="DA86" s="26">
        <v>13.704845767474131</v>
      </c>
      <c r="DB86" s="26">
        <v>13.946545832467923</v>
      </c>
      <c r="DC86" s="26"/>
      <c r="DD86" s="26">
        <v>14.021906647870745</v>
      </c>
      <c r="DE86" s="26">
        <v>4.8078274145166153</v>
      </c>
      <c r="DF86" s="26"/>
      <c r="DG86" s="26"/>
      <c r="DH86" s="26">
        <v>15.509495728392983</v>
      </c>
      <c r="DI86" s="26">
        <v>16.226976955639152</v>
      </c>
      <c r="DJ86" s="26">
        <v>16.886382007823471</v>
      </c>
      <c r="DK86" s="26">
        <v>17.502223209701484</v>
      </c>
      <c r="DL86" s="26">
        <v>17.98762575710132</v>
      </c>
      <c r="DM86" s="26">
        <v>3.0011205007855488</v>
      </c>
      <c r="DN86" s="26">
        <v>4.4377816690859024</v>
      </c>
      <c r="DO86" s="26">
        <v>3.5901063700284865</v>
      </c>
      <c r="DP86" s="26">
        <v>5.2522795455737761</v>
      </c>
      <c r="DQ86" s="26">
        <v>4.1600088468528016</v>
      </c>
      <c r="DR86" s="26">
        <v>16.458823841889224</v>
      </c>
      <c r="DS86" s="26">
        <v>17.506191004392292</v>
      </c>
      <c r="DT86" s="26"/>
      <c r="DU86" s="26"/>
      <c r="DV86" s="26">
        <v>3.8469075681895233</v>
      </c>
      <c r="DW86" s="26"/>
      <c r="DX86" s="26"/>
      <c r="DY86" s="26">
        <v>2.0003709939890491</v>
      </c>
      <c r="DZ86" s="26">
        <v>3.8766586879127258</v>
      </c>
      <c r="EA86" s="26">
        <v>4.5837433405368522</v>
      </c>
      <c r="EB86" s="26">
        <v>5.1304577550688109</v>
      </c>
      <c r="EC86" s="26">
        <v>5.7590397709015182</v>
      </c>
      <c r="ED86" s="26">
        <v>6.2395208532456854</v>
      </c>
      <c r="EE86" s="26">
        <v>6.6018402256318405</v>
      </c>
      <c r="EF86" s="26">
        <v>7.2050086005337972</v>
      </c>
      <c r="EG86" s="26">
        <v>7.9101900162230576</v>
      </c>
      <c r="EH86" s="26"/>
      <c r="EI86" s="26">
        <v>9.3455953693488443</v>
      </c>
      <c r="EJ86" s="26">
        <v>9.3393571709898158</v>
      </c>
      <c r="EK86" s="26"/>
      <c r="EL86" s="26">
        <v>8.5879630109850904</v>
      </c>
      <c r="EM86" s="26">
        <v>2.0686549604235238</v>
      </c>
      <c r="EN86" s="26">
        <v>4.0393894799384329</v>
      </c>
      <c r="EO86" s="26">
        <v>7.1112712708571966</v>
      </c>
      <c r="EP86" s="26">
        <v>8.2080772603214687</v>
      </c>
      <c r="EQ86" s="26">
        <v>9.0827515004511969</v>
      </c>
      <c r="ER86" s="26">
        <v>2.0156092027961963</v>
      </c>
      <c r="ES86" s="26">
        <v>3.9655876932804293</v>
      </c>
      <c r="ET86" s="26">
        <v>7.041933432431164</v>
      </c>
      <c r="EU86" s="26">
        <v>8.1507926372060826</v>
      </c>
      <c r="EV86" s="26">
        <v>9.0534944125638042</v>
      </c>
      <c r="EW86" s="26">
        <v>2.0068086776133223</v>
      </c>
      <c r="EX86" s="26">
        <v>3.9459848820651162</v>
      </c>
      <c r="EY86" s="26">
        <v>6.8709187030043219</v>
      </c>
      <c r="EZ86" s="26">
        <v>7.8822841015934957</v>
      </c>
      <c r="FA86" s="26">
        <v>8.2213749038599282</v>
      </c>
      <c r="FB86" s="26">
        <v>2.0028263424297674</v>
      </c>
      <c r="FC86" s="26">
        <v>3.8906603809128724</v>
      </c>
      <c r="FD86" s="26">
        <v>6.7276770975924256</v>
      </c>
      <c r="FE86" s="26">
        <v>7.5992523348025909</v>
      </c>
      <c r="FF86" s="26">
        <v>8.2543209527199046</v>
      </c>
      <c r="FG86" s="26">
        <v>2.0048796322531452</v>
      </c>
      <c r="FH86" s="26">
        <v>3.8492782131589802</v>
      </c>
      <c r="FI86" s="26"/>
      <c r="FJ86" s="26">
        <v>7.62372331521959</v>
      </c>
      <c r="FK86" s="26">
        <v>9.3229220100108048</v>
      </c>
    </row>
    <row r="87" spans="3:167" x14ac:dyDescent="0.2">
      <c r="C87" s="10">
        <f t="shared" si="33"/>
        <v>15.65227231613062</v>
      </c>
      <c r="D87" s="10">
        <f t="shared" si="34"/>
        <v>1265.6219099369948</v>
      </c>
      <c r="E87" s="10" cm="1">
        <f t="array" ref="E87">gavg(AF87,EL87)</f>
        <v>154.59812005916064</v>
      </c>
      <c r="F87" s="10" cm="1">
        <f t="array" ref="F87">lnstdev(AF87,EL87)</f>
        <v>1.1441286077011592</v>
      </c>
      <c r="G87" s="10">
        <f t="shared" si="35"/>
        <v>73</v>
      </c>
      <c r="H87" s="10">
        <f t="shared" si="36"/>
        <v>104.43445601191888</v>
      </c>
      <c r="I87" s="10">
        <f t="shared" si="37"/>
        <v>153.9470199994912</v>
      </c>
      <c r="J87" s="10"/>
      <c r="K87" s="10"/>
      <c r="L87" s="10">
        <f t="shared" si="38"/>
        <v>4</v>
      </c>
      <c r="M87" s="10">
        <f t="shared" si="39"/>
        <v>29.335774255909254</v>
      </c>
      <c r="N87" s="10">
        <f t="shared" si="40"/>
        <v>814.68564286257129</v>
      </c>
      <c r="O87" s="10">
        <f t="shared" si="41"/>
        <v>10</v>
      </c>
      <c r="P87" s="10">
        <f t="shared" si="42"/>
        <v>21.025805062019348</v>
      </c>
      <c r="Q87" s="10">
        <f t="shared" si="43"/>
        <v>122.46257884120008</v>
      </c>
      <c r="R87" s="10">
        <f t="shared" si="44"/>
        <v>19</v>
      </c>
      <c r="S87" s="10">
        <f t="shared" si="45"/>
        <v>35.230853552215642</v>
      </c>
      <c r="T87" s="10">
        <f t="shared" si="46"/>
        <v>1265.6219099369948</v>
      </c>
      <c r="U87" s="10">
        <f t="shared" si="47"/>
        <v>27</v>
      </c>
      <c r="V87" s="10">
        <f t="shared" si="24"/>
        <v>15.65227231613062</v>
      </c>
      <c r="W87" s="10">
        <f t="shared" si="25"/>
        <v>341.64120538004681</v>
      </c>
      <c r="X87" s="10">
        <f t="shared" si="26"/>
        <v>13</v>
      </c>
      <c r="Y87" s="10">
        <f t="shared" si="27"/>
        <v>57.886834462419309</v>
      </c>
      <c r="Z87" s="10">
        <f t="shared" si="28"/>
        <v>57.886834462419309</v>
      </c>
      <c r="AA87" s="10">
        <f t="shared" si="29"/>
        <v>1</v>
      </c>
      <c r="AB87" s="10">
        <f t="shared" si="30"/>
        <v>15.65227231613062</v>
      </c>
      <c r="AC87" s="10">
        <f t="shared" si="31"/>
        <v>341.64120538004681</v>
      </c>
      <c r="AD87" s="10">
        <f t="shared" si="32"/>
        <v>12</v>
      </c>
      <c r="AE87" t="s">
        <v>201</v>
      </c>
      <c r="AF87" s="26"/>
      <c r="AG87" s="26"/>
      <c r="AH87" s="26"/>
      <c r="AI87" s="26"/>
      <c r="AJ87" s="26"/>
      <c r="AK87" s="26"/>
      <c r="AL87" s="26">
        <v>104.43445601191888</v>
      </c>
      <c r="AM87" s="26">
        <v>121.04292693315587</v>
      </c>
      <c r="AN87" s="26">
        <v>136.41731122600007</v>
      </c>
      <c r="AO87" s="26">
        <v>153.9470199994912</v>
      </c>
      <c r="AP87" s="26">
        <v>29.335774255909254</v>
      </c>
      <c r="AQ87" s="26">
        <v>57.519866457483133</v>
      </c>
      <c r="AR87" s="26">
        <v>117.5861379524944</v>
      </c>
      <c r="AS87" s="26">
        <v>188.21905822419515</v>
      </c>
      <c r="AT87" s="26">
        <v>266.57968866460305</v>
      </c>
      <c r="AU87" s="26"/>
      <c r="AV87" s="26">
        <v>418.29599368616368</v>
      </c>
      <c r="AW87" s="26"/>
      <c r="AX87" s="26"/>
      <c r="AY87" s="26"/>
      <c r="AZ87" s="26"/>
      <c r="BA87" s="26"/>
      <c r="BB87" s="26">
        <v>814.68564286257129</v>
      </c>
      <c r="BC87" s="26"/>
      <c r="BD87" s="26"/>
      <c r="BE87" s="26"/>
      <c r="BF87" s="26"/>
      <c r="BG87" s="26"/>
      <c r="BH87" s="26"/>
      <c r="BI87" s="26">
        <v>43.708564339019738</v>
      </c>
      <c r="BJ87" s="26">
        <v>87.142026405760973</v>
      </c>
      <c r="BK87" s="26">
        <v>59.185174991571621</v>
      </c>
      <c r="BL87" s="26"/>
      <c r="BM87" s="26">
        <v>33.093883700614846</v>
      </c>
      <c r="BN87" s="26">
        <v>72.610959866588942</v>
      </c>
      <c r="BO87" s="26"/>
      <c r="BP87" s="26">
        <v>21.025805062019348</v>
      </c>
      <c r="BQ87" s="26">
        <v>28.921948631525602</v>
      </c>
      <c r="BR87" s="26">
        <v>39.031406736220802</v>
      </c>
      <c r="BS87" s="26">
        <v>46.845147518619065</v>
      </c>
      <c r="BT87" s="26">
        <v>54.534614230125619</v>
      </c>
      <c r="BU87" s="26">
        <v>62.600305776694846</v>
      </c>
      <c r="BV87" s="26">
        <v>72.15212894522007</v>
      </c>
      <c r="BW87" s="26">
        <v>86.979241005689474</v>
      </c>
      <c r="BX87" s="26">
        <v>94.0462150271659</v>
      </c>
      <c r="BY87" s="26">
        <v>97.648243471752764</v>
      </c>
      <c r="BZ87" s="26">
        <v>22.087632698411539</v>
      </c>
      <c r="CA87" s="26">
        <v>62.843527780879612</v>
      </c>
      <c r="CB87" s="26">
        <v>63.32605470200798</v>
      </c>
      <c r="CC87" s="26">
        <v>98.88488709298214</v>
      </c>
      <c r="CD87" s="26">
        <v>105.24898768801532</v>
      </c>
      <c r="CE87" s="26">
        <v>113.94924927678871</v>
      </c>
      <c r="CF87" s="26">
        <v>122.46257884120008</v>
      </c>
      <c r="CG87" s="26"/>
      <c r="CH87" s="26"/>
      <c r="CI87" s="26"/>
      <c r="CJ87" s="26"/>
      <c r="CK87" s="26"/>
      <c r="CL87" s="26"/>
      <c r="CM87" s="26"/>
      <c r="CN87" s="26"/>
      <c r="CO87" s="26"/>
      <c r="CP87" s="26">
        <v>134.60606113941458</v>
      </c>
      <c r="CQ87" s="26">
        <v>195.24565467427348</v>
      </c>
      <c r="CR87" s="26">
        <v>262.48098623463216</v>
      </c>
      <c r="CS87" s="26">
        <v>312.93465754692329</v>
      </c>
      <c r="CT87" s="26">
        <v>371.90673257169317</v>
      </c>
      <c r="CU87" s="26">
        <v>441.36063109686455</v>
      </c>
      <c r="CV87" s="26">
        <v>496.59104796544983</v>
      </c>
      <c r="CW87" s="26">
        <v>526.87231829494658</v>
      </c>
      <c r="CX87" s="26">
        <v>570.11146453014999</v>
      </c>
      <c r="CY87" s="26">
        <v>645.77214738178873</v>
      </c>
      <c r="CZ87" s="26">
        <v>679.34406752756274</v>
      </c>
      <c r="DA87" s="26">
        <v>734.69080230044938</v>
      </c>
      <c r="DB87" s="26">
        <v>760.8334793541153</v>
      </c>
      <c r="DC87" s="26"/>
      <c r="DD87" s="26">
        <v>769.07809328956284</v>
      </c>
      <c r="DE87" s="26">
        <v>90.417821085587192</v>
      </c>
      <c r="DF87" s="26"/>
      <c r="DG87" s="26"/>
      <c r="DH87" s="26">
        <v>940.91773200705882</v>
      </c>
      <c r="DI87" s="26">
        <v>1029.9865104884818</v>
      </c>
      <c r="DJ87" s="26">
        <v>1115.3971169137897</v>
      </c>
      <c r="DK87" s="26">
        <v>1198.2370235632789</v>
      </c>
      <c r="DL87" s="26">
        <v>1265.6219099369948</v>
      </c>
      <c r="DM87" s="26">
        <v>35.230853552215642</v>
      </c>
      <c r="DN87" s="26">
        <v>77.035013299994716</v>
      </c>
      <c r="DO87" s="26">
        <v>50.416295430430175</v>
      </c>
      <c r="DP87" s="26">
        <v>107.90758266307964</v>
      </c>
      <c r="DQ87" s="26">
        <v>67.693162887585913</v>
      </c>
      <c r="DR87" s="26">
        <v>1059.629137900562</v>
      </c>
      <c r="DS87" s="26">
        <v>1198.7803713832125</v>
      </c>
      <c r="DT87" s="26"/>
      <c r="DU87" s="26"/>
      <c r="DV87" s="26">
        <v>57.886834462419309</v>
      </c>
      <c r="DW87" s="26"/>
      <c r="DX87" s="26"/>
      <c r="DY87" s="26">
        <v>15.65227231613062</v>
      </c>
      <c r="DZ87" s="26">
        <v>58.785664319281288</v>
      </c>
      <c r="EA87" s="26">
        <v>82.185818001556981</v>
      </c>
      <c r="EB87" s="26">
        <v>102.95999905194456</v>
      </c>
      <c r="EC87" s="26">
        <v>129.73479008563891</v>
      </c>
      <c r="ED87" s="26">
        <v>152.28557908334548</v>
      </c>
      <c r="EE87" s="26">
        <v>170.48505622862012</v>
      </c>
      <c r="EF87" s="26">
        <v>203.06043171999318</v>
      </c>
      <c r="EG87" s="26">
        <v>244.75418716731153</v>
      </c>
      <c r="EH87" s="26"/>
      <c r="EI87" s="26">
        <v>341.64120538004681</v>
      </c>
      <c r="EJ87" s="26">
        <v>341.18526560852928</v>
      </c>
      <c r="EK87" s="26"/>
      <c r="EL87" s="26">
        <v>288.49389586942607</v>
      </c>
      <c r="EM87" s="26">
        <v>16.73911202705176</v>
      </c>
      <c r="EN87" s="26">
        <v>63.824549523859773</v>
      </c>
      <c r="EO87" s="26">
        <v>197.81115998128686</v>
      </c>
      <c r="EP87" s="26">
        <v>263.53552642712566</v>
      </c>
      <c r="EQ87" s="26">
        <v>322.69420222698506</v>
      </c>
      <c r="ER87" s="26">
        <v>15.891648964002338</v>
      </c>
      <c r="ES87" s="26">
        <v>61.513638248293312</v>
      </c>
      <c r="ET87" s="26">
        <v>193.97248462363081</v>
      </c>
      <c r="EU87" s="26">
        <v>259.86990461017558</v>
      </c>
      <c r="EV87" s="26">
        <v>320.61864462706302</v>
      </c>
      <c r="EW87" s="26">
        <v>15.753180117427293</v>
      </c>
      <c r="EX87" s="26">
        <v>60.906989268070426</v>
      </c>
      <c r="EY87" s="26">
        <v>184.6655645306582</v>
      </c>
      <c r="EZ87" s="26">
        <v>243.03032422747125</v>
      </c>
      <c r="FA87" s="26">
        <v>264.39010906891139</v>
      </c>
      <c r="FB87" s="26">
        <v>15.690720553002395</v>
      </c>
      <c r="FC87" s="26">
        <v>59.211074613419889</v>
      </c>
      <c r="FD87" s="26">
        <v>177.04618611938258</v>
      </c>
      <c r="FE87" s="26">
        <v>225.89053252466604</v>
      </c>
      <c r="FF87" s="26">
        <v>266.51337016541669</v>
      </c>
      <c r="FG87" s="26">
        <v>15.722909176477057</v>
      </c>
      <c r="FH87" s="26">
        <v>57.958201613305391</v>
      </c>
      <c r="FI87" s="26"/>
      <c r="FJ87" s="26">
        <v>227.34769245481587</v>
      </c>
      <c r="FK87" s="26">
        <v>339.98550405074729</v>
      </c>
    </row>
    <row r="88" spans="3:167" x14ac:dyDescent="0.2">
      <c r="C88" s="10">
        <f t="shared" si="33"/>
        <v>0.95931262586627597</v>
      </c>
      <c r="D88" s="10">
        <f t="shared" si="34"/>
        <v>387.12046526060993</v>
      </c>
      <c r="E88" s="10" cm="1">
        <f t="array" ref="E88">gavg(AF88,EL88)</f>
        <v>11.758471639607377</v>
      </c>
      <c r="F88" s="10" cm="1">
        <f t="array" ref="F88">lnstdev(AF88,EL88)</f>
        <v>1.156998552448915</v>
      </c>
      <c r="G88" s="10">
        <f t="shared" si="35"/>
        <v>73</v>
      </c>
      <c r="H88" s="10">
        <f t="shared" si="36"/>
        <v>0.95931262586627597</v>
      </c>
      <c r="I88" s="10">
        <f t="shared" si="37"/>
        <v>1.2077756213486157</v>
      </c>
      <c r="J88" s="10"/>
      <c r="K88" s="10"/>
      <c r="L88" s="10">
        <f t="shared" si="38"/>
        <v>4</v>
      </c>
      <c r="M88" s="10">
        <f t="shared" si="39"/>
        <v>1.1515535876000997</v>
      </c>
      <c r="N88" s="10">
        <f t="shared" si="40"/>
        <v>24.391892556467965</v>
      </c>
      <c r="O88" s="10">
        <f t="shared" si="41"/>
        <v>10</v>
      </c>
      <c r="P88" s="10">
        <f t="shared" si="42"/>
        <v>7.8664433508505711</v>
      </c>
      <c r="Q88" s="10">
        <f t="shared" si="43"/>
        <v>30.065626016914369</v>
      </c>
      <c r="R88" s="10">
        <f t="shared" si="44"/>
        <v>19</v>
      </c>
      <c r="S88" s="10">
        <f t="shared" si="45"/>
        <v>2.6231064436735849</v>
      </c>
      <c r="T88" s="10">
        <f t="shared" si="46"/>
        <v>57.260760259312697</v>
      </c>
      <c r="U88" s="10">
        <f t="shared" si="47"/>
        <v>27</v>
      </c>
      <c r="V88" s="10">
        <f t="shared" si="24"/>
        <v>25.30851824555894</v>
      </c>
      <c r="W88" s="10">
        <f t="shared" si="25"/>
        <v>387.12046526060993</v>
      </c>
      <c r="X88" s="10">
        <f t="shared" si="26"/>
        <v>13</v>
      </c>
      <c r="Y88" s="10">
        <f t="shared" si="27"/>
        <v>112.5027611445126</v>
      </c>
      <c r="Z88" s="10">
        <f t="shared" si="28"/>
        <v>112.5027611445126</v>
      </c>
      <c r="AA88" s="10">
        <f t="shared" si="29"/>
        <v>1</v>
      </c>
      <c r="AB88" s="10">
        <f t="shared" si="30"/>
        <v>25.30851824555894</v>
      </c>
      <c r="AC88" s="10">
        <f t="shared" si="31"/>
        <v>387.12046526060993</v>
      </c>
      <c r="AD88" s="10">
        <f t="shared" si="32"/>
        <v>12</v>
      </c>
      <c r="AE88" t="s">
        <v>202</v>
      </c>
      <c r="AF88" s="26"/>
      <c r="AG88" s="26"/>
      <c r="AH88" s="26"/>
      <c r="AI88" s="26"/>
      <c r="AJ88" s="26"/>
      <c r="AK88" s="26"/>
      <c r="AL88" s="26">
        <v>1.2077756213486157</v>
      </c>
      <c r="AM88" s="26">
        <v>1.1056289978340066</v>
      </c>
      <c r="AN88" s="26">
        <v>1.0251873368791706</v>
      </c>
      <c r="AO88" s="26">
        <v>0.95931262586627597</v>
      </c>
      <c r="AP88" s="26">
        <v>24.391892556467965</v>
      </c>
      <c r="AQ88" s="26">
        <v>12.39314191041627</v>
      </c>
      <c r="AR88" s="26">
        <v>6.0526881112960602</v>
      </c>
      <c r="AS88" s="26">
        <v>3.7666895969175127</v>
      </c>
      <c r="AT88" s="26">
        <v>2.6785350127838461</v>
      </c>
      <c r="AU88" s="26"/>
      <c r="AV88" s="26">
        <v>1.8850320220016954</v>
      </c>
      <c r="AW88" s="26"/>
      <c r="AX88" s="26"/>
      <c r="AY88" s="26"/>
      <c r="AZ88" s="26"/>
      <c r="BA88" s="26"/>
      <c r="BB88" s="26">
        <v>1.1515535876000997</v>
      </c>
      <c r="BC88" s="26"/>
      <c r="BD88" s="26"/>
      <c r="BE88" s="26"/>
      <c r="BF88" s="26"/>
      <c r="BG88" s="26"/>
      <c r="BH88" s="26"/>
      <c r="BI88" s="26">
        <v>16.152806707052129</v>
      </c>
      <c r="BJ88" s="26">
        <v>8.0284894017907167</v>
      </c>
      <c r="BK88" s="26">
        <v>11.824562591088151</v>
      </c>
      <c r="BL88" s="26"/>
      <c r="BM88" s="26">
        <v>9.058449261180316</v>
      </c>
      <c r="BN88" s="26">
        <v>7.8664433508505711</v>
      </c>
      <c r="BO88" s="26"/>
      <c r="BP88" s="26">
        <v>30.065626016914369</v>
      </c>
      <c r="BQ88" s="26">
        <v>22.639463651886633</v>
      </c>
      <c r="BR88" s="26">
        <v>16.656638164149282</v>
      </c>
      <c r="BS88" s="26">
        <v>15.021212136386572</v>
      </c>
      <c r="BT88" s="26">
        <v>13.951169656448213</v>
      </c>
      <c r="BU88" s="26">
        <v>13.01388949792244</v>
      </c>
      <c r="BV88" s="26">
        <v>11.766366373383427</v>
      </c>
      <c r="BW88" s="26">
        <v>11.269336129968526</v>
      </c>
      <c r="BX88" s="26">
        <v>11.170898139527413</v>
      </c>
      <c r="BY88" s="26">
        <v>11.960799378255555</v>
      </c>
      <c r="BZ88" s="26">
        <v>27.162889586886486</v>
      </c>
      <c r="CA88" s="26">
        <v>12.912503702619032</v>
      </c>
      <c r="CB88" s="26">
        <v>12.021652336608035</v>
      </c>
      <c r="CC88" s="26">
        <v>11.232099961635724</v>
      </c>
      <c r="CD88" s="26">
        <v>11.693849947411628</v>
      </c>
      <c r="CE88" s="26">
        <v>11.223698400411086</v>
      </c>
      <c r="CF88" s="26">
        <v>10.86580831318318</v>
      </c>
      <c r="CG88" s="26"/>
      <c r="CH88" s="26"/>
      <c r="CI88" s="26"/>
      <c r="CJ88" s="26"/>
      <c r="CK88" s="26"/>
      <c r="CL88" s="26"/>
      <c r="CM88" s="26"/>
      <c r="CN88" s="26"/>
      <c r="CO88" s="26"/>
      <c r="CP88" s="26">
        <v>14.967634874281726</v>
      </c>
      <c r="CQ88" s="26">
        <v>10.859495391314089</v>
      </c>
      <c r="CR88" s="26">
        <v>8.4563881945228196</v>
      </c>
      <c r="CS88" s="26">
        <v>8.0451490313237208</v>
      </c>
      <c r="CT88" s="26">
        <v>7.3666796900735303</v>
      </c>
      <c r="CU88" s="26">
        <v>6.5196411657785642</v>
      </c>
      <c r="CV88" s="26">
        <v>6.3301131825501749</v>
      </c>
      <c r="CW88" s="26">
        <v>6.8827228840656973</v>
      </c>
      <c r="CX88" s="26">
        <v>7.0094627058965058</v>
      </c>
      <c r="CY88" s="26">
        <v>6.3298791757150115</v>
      </c>
      <c r="CZ88" s="26">
        <v>6.6780438219414266</v>
      </c>
      <c r="DA88" s="26">
        <v>6.5385293353880218</v>
      </c>
      <c r="DB88" s="26">
        <v>6.9941799281985251</v>
      </c>
      <c r="DC88" s="26"/>
      <c r="DD88" s="26">
        <v>6.8232928038368632</v>
      </c>
      <c r="DE88" s="26">
        <v>18.904292224553938</v>
      </c>
      <c r="DF88" s="26"/>
      <c r="DG88" s="26"/>
      <c r="DH88" s="26">
        <v>4.9032420224881452</v>
      </c>
      <c r="DI88" s="26">
        <v>5.154905288650987</v>
      </c>
      <c r="DJ88" s="26">
        <v>5.408353073811563</v>
      </c>
      <c r="DK88" s="26">
        <v>5.6648585615667919</v>
      </c>
      <c r="DL88" s="26">
        <v>6.0623627952754546</v>
      </c>
      <c r="DM88" s="26">
        <v>57.260760259312697</v>
      </c>
      <c r="DN88" s="26">
        <v>26.427104906202789</v>
      </c>
      <c r="DO88" s="26">
        <v>40.004296051188781</v>
      </c>
      <c r="DP88" s="26">
        <v>19.130558061300469</v>
      </c>
      <c r="DQ88" s="26">
        <v>29.934930652950253</v>
      </c>
      <c r="DR88" s="26">
        <v>2.6231064436735849</v>
      </c>
      <c r="DS88" s="26">
        <v>3.0770338188674491</v>
      </c>
      <c r="DT88" s="26"/>
      <c r="DU88" s="26"/>
      <c r="DV88" s="26">
        <v>112.5027611445126</v>
      </c>
      <c r="DW88" s="26"/>
      <c r="DX88" s="26"/>
      <c r="DY88" s="26">
        <v>387.12046526060993</v>
      </c>
      <c r="DZ88" s="26">
        <v>109.01295409328802</v>
      </c>
      <c r="EA88" s="26">
        <v>80.044164274946709</v>
      </c>
      <c r="EB88" s="26">
        <v>69.315374934098855</v>
      </c>
      <c r="EC88" s="26">
        <v>56.845340825747876</v>
      </c>
      <c r="ED88" s="26">
        <v>52.110362557298266</v>
      </c>
      <c r="EE88" s="26">
        <v>51.347614683737454</v>
      </c>
      <c r="EF88" s="26">
        <v>43.636818151904194</v>
      </c>
      <c r="EG88" s="26">
        <v>29.734510695495572</v>
      </c>
      <c r="EH88" s="26"/>
      <c r="EI88" s="26">
        <v>28.325629332891609</v>
      </c>
      <c r="EJ88" s="26">
        <v>32.438035866153264</v>
      </c>
      <c r="EK88" s="26"/>
      <c r="EL88" s="26">
        <v>25.30851824555894</v>
      </c>
      <c r="EM88" s="26">
        <v>338.39633144268845</v>
      </c>
      <c r="EN88" s="26">
        <v>92.328741463789058</v>
      </c>
      <c r="EO88" s="26">
        <v>37.867263826374177</v>
      </c>
      <c r="EP88" s="26">
        <v>33.217102974428286</v>
      </c>
      <c r="EQ88" s="26">
        <v>31.856401217061759</v>
      </c>
      <c r="ER88" s="26">
        <v>375.52385991491388</v>
      </c>
      <c r="ES88" s="26">
        <v>99.493561294430577</v>
      </c>
      <c r="ET88" s="26">
        <v>39.423308538902923</v>
      </c>
      <c r="EU88" s="26">
        <v>34.184754408224194</v>
      </c>
      <c r="EV88" s="26">
        <v>32.292885474324834</v>
      </c>
      <c r="EW88" s="26">
        <v>382.2451166678087</v>
      </c>
      <c r="EX88" s="26">
        <v>101.50658444152997</v>
      </c>
      <c r="EY88" s="26">
        <v>43.601416410499802</v>
      </c>
      <c r="EZ88" s="26">
        <v>39.226682792790321</v>
      </c>
      <c r="FA88" s="26">
        <v>47.949753015848323</v>
      </c>
      <c r="FB88" s="26">
        <v>385.11180032893662</v>
      </c>
      <c r="FC88" s="26">
        <v>107.47275218334288</v>
      </c>
      <c r="FD88" s="26">
        <v>47.518773279036274</v>
      </c>
      <c r="FE88" s="26">
        <v>45.577122310618719</v>
      </c>
      <c r="FF88" s="26">
        <v>47.18882261190754</v>
      </c>
      <c r="FG88" s="26">
        <v>383.60854948116742</v>
      </c>
      <c r="FH88" s="26">
        <v>112.22195368626384</v>
      </c>
      <c r="FI88" s="26"/>
      <c r="FJ88" s="26">
        <v>44.983549819985711</v>
      </c>
      <c r="FK88" s="26">
        <v>28.621038736397303</v>
      </c>
    </row>
    <row r="89" spans="3:167" x14ac:dyDescent="0.2">
      <c r="C89" s="10">
        <f t="shared" si="33"/>
        <v>2.8068046517353783E-6</v>
      </c>
      <c r="D89" s="10">
        <f t="shared" si="34"/>
        <v>1.9355158516918462E-4</v>
      </c>
      <c r="E89" s="10" cm="1">
        <f t="array" ref="E89">gavg(AF89,EL89)</f>
        <v>3.1975977370994465E-5</v>
      </c>
      <c r="F89" s="10" cm="1">
        <f t="array" ref="F89">lnstdev(AF89,EL89)</f>
        <v>0.97549828992515975</v>
      </c>
      <c r="G89" s="10">
        <f t="shared" si="35"/>
        <v>73</v>
      </c>
      <c r="H89" s="10">
        <f t="shared" si="36"/>
        <v>2.7698309050472322E-5</v>
      </c>
      <c r="I89" s="10">
        <f t="shared" si="37"/>
        <v>4.0830127337078301E-5</v>
      </c>
      <c r="J89" s="10"/>
      <c r="K89" s="10"/>
      <c r="L89" s="10">
        <f t="shared" si="38"/>
        <v>4</v>
      </c>
      <c r="M89" s="10">
        <f t="shared" si="39"/>
        <v>4.3904510661526386E-6</v>
      </c>
      <c r="N89" s="10">
        <f t="shared" si="40"/>
        <v>1.2192749433108018E-4</v>
      </c>
      <c r="O89" s="10">
        <f t="shared" si="41"/>
        <v>10</v>
      </c>
      <c r="P89" s="10">
        <f t="shared" si="42"/>
        <v>9.5270733432306659E-6</v>
      </c>
      <c r="Q89" s="10">
        <f t="shared" si="43"/>
        <v>5.5489431533292671E-5</v>
      </c>
      <c r="R89" s="10">
        <f t="shared" si="44"/>
        <v>19</v>
      </c>
      <c r="S89" s="10">
        <f t="shared" si="45"/>
        <v>2.8068046517353783E-6</v>
      </c>
      <c r="T89" s="10">
        <f t="shared" si="46"/>
        <v>1.0083075219521517E-4</v>
      </c>
      <c r="U89" s="10">
        <f t="shared" si="47"/>
        <v>27</v>
      </c>
      <c r="V89" s="10">
        <f t="shared" si="24"/>
        <v>8.8675548223661743E-6</v>
      </c>
      <c r="W89" s="10">
        <f t="shared" si="25"/>
        <v>1.9355158516918462E-4</v>
      </c>
      <c r="X89" s="10">
        <f t="shared" si="26"/>
        <v>13</v>
      </c>
      <c r="Y89" s="10">
        <f t="shared" si="27"/>
        <v>3.2794898256385219E-5</v>
      </c>
      <c r="Z89" s="10">
        <f t="shared" si="28"/>
        <v>3.2794898256385219E-5</v>
      </c>
      <c r="AA89" s="10">
        <f t="shared" si="29"/>
        <v>1</v>
      </c>
      <c r="AB89" s="10">
        <f t="shared" si="30"/>
        <v>8.8675548223661743E-6</v>
      </c>
      <c r="AC89" s="10">
        <f t="shared" si="31"/>
        <v>1.9355158516918462E-4</v>
      </c>
      <c r="AD89" s="10">
        <f t="shared" si="32"/>
        <v>12</v>
      </c>
      <c r="AE89" t="s">
        <v>186</v>
      </c>
      <c r="AF89" s="26"/>
      <c r="AG89" s="26"/>
      <c r="AH89" s="26"/>
      <c r="AI89" s="26"/>
      <c r="AJ89" s="26"/>
      <c r="AK89" s="26"/>
      <c r="AL89" s="26">
        <v>2.7698309050472322E-5</v>
      </c>
      <c r="AM89" s="26">
        <v>3.2103239932476462E-5</v>
      </c>
      <c r="AN89" s="26">
        <v>3.6180863964484877E-5</v>
      </c>
      <c r="AO89" s="26">
        <v>4.0830127337078301E-5</v>
      </c>
      <c r="AP89" s="26">
        <v>4.3904510661526386E-6</v>
      </c>
      <c r="AQ89" s="26">
        <v>8.6085390762217275E-6</v>
      </c>
      <c r="AR89" s="26">
        <v>1.7598178259580386E-5</v>
      </c>
      <c r="AS89" s="26">
        <v>2.8169243383245761E-5</v>
      </c>
      <c r="AT89" s="26">
        <v>3.989685317667674E-5</v>
      </c>
      <c r="AU89" s="26"/>
      <c r="AV89" s="26">
        <v>6.2603020988166266E-5</v>
      </c>
      <c r="AW89" s="26"/>
      <c r="AX89" s="26"/>
      <c r="AY89" s="26"/>
      <c r="AZ89" s="26"/>
      <c r="BA89" s="26"/>
      <c r="BB89" s="26">
        <v>1.2192749433108018E-4</v>
      </c>
      <c r="BC89" s="26"/>
      <c r="BD89" s="26"/>
      <c r="BE89" s="26"/>
      <c r="BF89" s="26"/>
      <c r="BG89" s="26"/>
      <c r="BH89" s="26"/>
      <c r="BI89" s="26">
        <v>6.5415117810839759E-6</v>
      </c>
      <c r="BJ89" s="26">
        <v>1.304185120196059E-5</v>
      </c>
      <c r="BK89" s="26">
        <v>8.8577725058623014E-6</v>
      </c>
      <c r="BL89" s="26"/>
      <c r="BM89" s="26">
        <v>1.4995281098540865E-5</v>
      </c>
      <c r="BN89" s="26">
        <v>3.290099656735487E-5</v>
      </c>
      <c r="BO89" s="26"/>
      <c r="BP89" s="26">
        <v>9.5270733432306659E-6</v>
      </c>
      <c r="BQ89" s="26">
        <v>1.3104921548969732E-5</v>
      </c>
      <c r="BR89" s="26">
        <v>1.7685652157840827E-5</v>
      </c>
      <c r="BS89" s="26">
        <v>2.1226162559193865E-5</v>
      </c>
      <c r="BT89" s="26">
        <v>2.4710362717749782E-5</v>
      </c>
      <c r="BU89" s="26">
        <v>2.8365035378386568E-5</v>
      </c>
      <c r="BV89" s="26">
        <v>3.26930941433036E-5</v>
      </c>
      <c r="BW89" s="26">
        <v>3.9411456824386369E-5</v>
      </c>
      <c r="BX89" s="26">
        <v>4.2613597223706016E-5</v>
      </c>
      <c r="BY89" s="26">
        <v>4.4245724463293684E-5</v>
      </c>
      <c r="BZ89" s="26">
        <v>1.0008201639623525E-5</v>
      </c>
      <c r="CA89" s="26">
        <v>2.8475242519835886E-5</v>
      </c>
      <c r="CB89" s="26">
        <v>2.8693881918142557E-5</v>
      </c>
      <c r="CC89" s="26">
        <v>4.4806064219328651E-5</v>
      </c>
      <c r="CD89" s="26">
        <v>4.7689723273226294E-5</v>
      </c>
      <c r="CE89" s="26">
        <v>5.1631928102817541E-5</v>
      </c>
      <c r="CF89" s="26">
        <v>5.5489431533292671E-5</v>
      </c>
      <c r="CG89" s="26"/>
      <c r="CH89" s="26"/>
      <c r="CI89" s="26"/>
      <c r="CJ89" s="26"/>
      <c r="CK89" s="26"/>
      <c r="CL89" s="26"/>
      <c r="CM89" s="26"/>
      <c r="CN89" s="26"/>
      <c r="CO89" s="26"/>
      <c r="CP89" s="26">
        <v>1.0723921803311666E-5</v>
      </c>
      <c r="CQ89" s="26">
        <v>1.5555013759705116E-5</v>
      </c>
      <c r="CR89" s="26">
        <v>2.0911581153250909E-5</v>
      </c>
      <c r="CS89" s="26">
        <v>2.493117151391535E-5</v>
      </c>
      <c r="CT89" s="26">
        <v>2.9629414043199805E-5</v>
      </c>
      <c r="CU89" s="26">
        <v>3.5162732308472095E-5</v>
      </c>
      <c r="CV89" s="26">
        <v>3.9562880909875486E-5</v>
      </c>
      <c r="CW89" s="26">
        <v>4.1975357527716123E-5</v>
      </c>
      <c r="CX89" s="26">
        <v>4.5420174344605385E-5</v>
      </c>
      <c r="CY89" s="26">
        <v>5.1447980519289999E-5</v>
      </c>
      <c r="CZ89" s="26">
        <v>5.4122619709997912E-5</v>
      </c>
      <c r="DA89" s="26">
        <v>5.8532035235189835E-5</v>
      </c>
      <c r="DB89" s="26">
        <v>6.0614794526113412E-5</v>
      </c>
      <c r="DC89" s="26"/>
      <c r="DD89" s="26">
        <v>6.1271634154238782E-5</v>
      </c>
      <c r="DE89" s="26">
        <v>7.2034916907893922E-6</v>
      </c>
      <c r="DF89" s="26"/>
      <c r="DG89" s="26"/>
      <c r="DH89" s="26">
        <v>7.4961915503509742E-5</v>
      </c>
      <c r="DI89" s="26">
        <v>8.2057930404071919E-5</v>
      </c>
      <c r="DJ89" s="26">
        <v>8.8862502625598955E-5</v>
      </c>
      <c r="DK89" s="26">
        <v>9.5462269928667554E-5</v>
      </c>
      <c r="DL89" s="26">
        <v>1.0083075219521517E-4</v>
      </c>
      <c r="DM89" s="26">
        <v>2.8068046517353783E-6</v>
      </c>
      <c r="DN89" s="26">
        <v>6.1372976205773444E-6</v>
      </c>
      <c r="DO89" s="26">
        <v>4.016612663887536E-6</v>
      </c>
      <c r="DP89" s="26">
        <v>8.5968824038668303E-6</v>
      </c>
      <c r="DQ89" s="26">
        <v>5.3930423287064468E-6</v>
      </c>
      <c r="DR89" s="26">
        <v>8.441952701956615E-5</v>
      </c>
      <c r="DS89" s="26">
        <v>9.5505557871897184E-5</v>
      </c>
      <c r="DT89" s="26"/>
      <c r="DU89" s="26"/>
      <c r="DV89" s="26">
        <v>3.2794898256385219E-5</v>
      </c>
      <c r="DW89" s="26"/>
      <c r="DX89" s="26"/>
      <c r="DY89" s="26">
        <v>8.8675548223661743E-6</v>
      </c>
      <c r="DZ89" s="26">
        <v>3.3304116526469184E-5</v>
      </c>
      <c r="EA89" s="26">
        <v>4.6561114707846964E-5</v>
      </c>
      <c r="EB89" s="26">
        <v>5.833040836907636E-5</v>
      </c>
      <c r="EC89" s="26">
        <v>7.3499255585208659E-5</v>
      </c>
      <c r="ED89" s="26">
        <v>8.627505923121944E-5</v>
      </c>
      <c r="EE89" s="26">
        <v>9.6585693883148298E-5</v>
      </c>
      <c r="EF89" s="26">
        <v>1.1504077326042326E-4</v>
      </c>
      <c r="EG89" s="26">
        <v>1.3866173095347355E-4</v>
      </c>
      <c r="EH89" s="26"/>
      <c r="EI89" s="26">
        <v>1.9355158516918462E-4</v>
      </c>
      <c r="EJ89" s="26">
        <v>1.9329327948436323E-4</v>
      </c>
      <c r="EK89" s="26"/>
      <c r="EL89" s="26">
        <v>1.6344179208431712E-4</v>
      </c>
      <c r="EM89" s="26">
        <v>9.4832871917669825E-6</v>
      </c>
      <c r="EN89" s="26">
        <v>3.6158819657921948E-5</v>
      </c>
      <c r="EO89" s="26">
        <v>1.1206687886475108E-4</v>
      </c>
      <c r="EP89" s="26">
        <v>1.4930201066239642E-4</v>
      </c>
      <c r="EQ89" s="26">
        <v>1.8281745112232347E-4</v>
      </c>
      <c r="ER89" s="26">
        <v>9.003169990906854E-6</v>
      </c>
      <c r="ES89" s="26">
        <v>3.4849608317112901E-5</v>
      </c>
      <c r="ET89" s="26">
        <v>1.0989213621449695E-4</v>
      </c>
      <c r="EU89" s="26">
        <v>1.4722530884151336E-4</v>
      </c>
      <c r="EV89" s="26">
        <v>1.8164157579683991E-4</v>
      </c>
      <c r="EW89" s="26">
        <v>8.9247225895714838E-6</v>
      </c>
      <c r="EX89" s="26">
        <v>3.4505920641521218E-5</v>
      </c>
      <c r="EY89" s="26">
        <v>1.0461944337572209E-4</v>
      </c>
      <c r="EZ89" s="26">
        <v>1.3768510284373095E-4</v>
      </c>
      <c r="FA89" s="26">
        <v>1.497861613513969E-4</v>
      </c>
      <c r="FB89" s="26">
        <v>8.8893370812866511E-6</v>
      </c>
      <c r="FC89" s="26">
        <v>3.3545126204111023E-5</v>
      </c>
      <c r="FD89" s="26">
        <v>1.0030280139494658E-4</v>
      </c>
      <c r="FE89" s="26">
        <v>1.2797481672687563E-4</v>
      </c>
      <c r="FF89" s="26">
        <v>1.5098906236124288E-4</v>
      </c>
      <c r="FG89" s="26">
        <v>8.9075730522404609E-6</v>
      </c>
      <c r="FH89" s="26">
        <v>3.2835330221164303E-5</v>
      </c>
      <c r="FI89" s="26"/>
      <c r="FJ89" s="26">
        <v>1.2880034833689257E-4</v>
      </c>
      <c r="FK89" s="26">
        <v>1.9261357297450173E-4</v>
      </c>
    </row>
    <row r="90" spans="3:167" x14ac:dyDescent="0.2">
      <c r="C90" s="10">
        <f t="shared" si="33"/>
        <v>3.1506997473427294</v>
      </c>
      <c r="D90" s="10">
        <f t="shared" si="34"/>
        <v>9.9126672667002698</v>
      </c>
      <c r="E90" s="10" cm="1">
        <f t="array" ref="E90">gavg(AF90,EL90)</f>
        <v>5.9501200083105239</v>
      </c>
      <c r="F90" s="10" cm="1">
        <f t="array" ref="F90">lnstdev(AF90,EL90)</f>
        <v>0.24125359371506599</v>
      </c>
      <c r="G90" s="10">
        <f t="shared" si="35"/>
        <v>73</v>
      </c>
      <c r="H90" s="10">
        <f t="shared" si="36"/>
        <v>3.9755921812321118</v>
      </c>
      <c r="I90" s="10">
        <f t="shared" si="37"/>
        <v>5.3055824072041231</v>
      </c>
      <c r="J90" s="10"/>
      <c r="K90" s="10"/>
      <c r="L90" s="10">
        <f t="shared" si="38"/>
        <v>4</v>
      </c>
      <c r="M90" s="10">
        <f t="shared" si="39"/>
        <v>3.1506997473427294</v>
      </c>
      <c r="N90" s="10">
        <f t="shared" si="40"/>
        <v>5.0795365493314559</v>
      </c>
      <c r="O90" s="10">
        <f t="shared" si="41"/>
        <v>10</v>
      </c>
      <c r="P90" s="10">
        <f t="shared" si="42"/>
        <v>4.8195115261323638</v>
      </c>
      <c r="Q90" s="10">
        <f t="shared" si="43"/>
        <v>8.7844808327165307</v>
      </c>
      <c r="R90" s="10">
        <f t="shared" si="44"/>
        <v>19</v>
      </c>
      <c r="S90" s="10">
        <f t="shared" si="45"/>
        <v>4.7683936504633282</v>
      </c>
      <c r="T90" s="10">
        <f t="shared" si="46"/>
        <v>8.1975543089896643</v>
      </c>
      <c r="U90" s="10">
        <f t="shared" si="47"/>
        <v>27</v>
      </c>
      <c r="V90" s="10">
        <f t="shared" si="24"/>
        <v>6.1343399695379084</v>
      </c>
      <c r="W90" s="10">
        <f t="shared" si="25"/>
        <v>9.9126672667002698</v>
      </c>
      <c r="X90" s="10">
        <f t="shared" si="26"/>
        <v>13</v>
      </c>
      <c r="Y90" s="10">
        <f t="shared" si="27"/>
        <v>7.7854864960459267</v>
      </c>
      <c r="Z90" s="10">
        <f t="shared" si="28"/>
        <v>7.7854864960459267</v>
      </c>
      <c r="AA90" s="10">
        <f t="shared" si="29"/>
        <v>1</v>
      </c>
      <c r="AB90" s="10">
        <f t="shared" si="30"/>
        <v>6.1343399695379084</v>
      </c>
      <c r="AC90" s="10">
        <f t="shared" si="31"/>
        <v>9.9126672667002698</v>
      </c>
      <c r="AD90" s="10">
        <f t="shared" si="32"/>
        <v>12</v>
      </c>
      <c r="AE90" t="s">
        <v>189</v>
      </c>
      <c r="AF90" s="26"/>
      <c r="AG90" s="26"/>
      <c r="AH90" s="26"/>
      <c r="AI90" s="26"/>
      <c r="AJ90" s="26"/>
      <c r="AK90" s="26"/>
      <c r="AL90" s="26">
        <v>5.2324625570429388</v>
      </c>
      <c r="AM90" s="26">
        <v>5.3055824072041231</v>
      </c>
      <c r="AN90" s="26">
        <v>4.655447978393739</v>
      </c>
      <c r="AO90" s="26">
        <v>3.9755921812321118</v>
      </c>
      <c r="AP90" s="26">
        <v>4.062120186477582</v>
      </c>
      <c r="AQ90" s="26">
        <v>3.1506997473427294</v>
      </c>
      <c r="AR90" s="26">
        <v>4.1786954227753803</v>
      </c>
      <c r="AS90" s="26">
        <v>4.4375395113080085</v>
      </c>
      <c r="AT90" s="26">
        <v>5.0795365493314559</v>
      </c>
      <c r="AU90" s="26"/>
      <c r="AV90" s="26">
        <v>3.7917125475365436</v>
      </c>
      <c r="AW90" s="26"/>
      <c r="AX90" s="26"/>
      <c r="AY90" s="26"/>
      <c r="AZ90" s="26"/>
      <c r="BA90" s="26"/>
      <c r="BB90" s="26">
        <v>4.1255132431082453</v>
      </c>
      <c r="BC90" s="26"/>
      <c r="BD90" s="26"/>
      <c r="BE90" s="26"/>
      <c r="BF90" s="26"/>
      <c r="BG90" s="26"/>
      <c r="BH90" s="26"/>
      <c r="BI90" s="26">
        <v>3.4774946615159275</v>
      </c>
      <c r="BJ90" s="26">
        <v>5.0096376560329396</v>
      </c>
      <c r="BK90" s="26">
        <v>3.3211441120706886</v>
      </c>
      <c r="BL90" s="26"/>
      <c r="BM90" s="26">
        <v>7.5372228689385867</v>
      </c>
      <c r="BN90" s="26">
        <v>6.7538585466501351</v>
      </c>
      <c r="BO90" s="26"/>
      <c r="BP90" s="26">
        <v>6.9085285216317676</v>
      </c>
      <c r="BQ90" s="26">
        <v>8.7844808327165307</v>
      </c>
      <c r="BR90" s="26">
        <v>6.8815419584476922</v>
      </c>
      <c r="BS90" s="26">
        <v>7.0835981525221072</v>
      </c>
      <c r="BT90" s="26">
        <v>7.9295325649227948</v>
      </c>
      <c r="BU90" s="26">
        <v>6.7364402255589626</v>
      </c>
      <c r="BV90" s="26">
        <v>6.8873829945396192</v>
      </c>
      <c r="BW90" s="26">
        <v>6.0678848365387212</v>
      </c>
      <c r="BX90" s="26">
        <v>6.1645888533499686</v>
      </c>
      <c r="BY90" s="26">
        <v>5.8693943176476182</v>
      </c>
      <c r="BZ90" s="26">
        <v>6.7850434650344518</v>
      </c>
      <c r="CA90" s="26">
        <v>7.2194045444036385</v>
      </c>
      <c r="CB90" s="26">
        <v>6.9426629376466629</v>
      </c>
      <c r="CC90" s="26">
        <v>5.4563023939985182</v>
      </c>
      <c r="CD90" s="26">
        <v>5.65606720316016</v>
      </c>
      <c r="CE90" s="26">
        <v>4.8338479073442899</v>
      </c>
      <c r="CF90" s="26">
        <v>4.8195115261323638</v>
      </c>
      <c r="CG90" s="26"/>
      <c r="CH90" s="26"/>
      <c r="CI90" s="26"/>
      <c r="CJ90" s="26"/>
      <c r="CK90" s="26"/>
      <c r="CL90" s="26"/>
      <c r="CM90" s="26"/>
      <c r="CN90" s="26"/>
      <c r="CO90" s="26"/>
      <c r="CP90" s="26">
        <v>5.4193347671040568</v>
      </c>
      <c r="CQ90" s="26">
        <v>6.8529805604098808</v>
      </c>
      <c r="CR90" s="26">
        <v>5.4979158235517529</v>
      </c>
      <c r="CS90" s="26">
        <v>7.4502001431439764</v>
      </c>
      <c r="CT90" s="26">
        <v>5.5318021576845782</v>
      </c>
      <c r="CU90" s="26">
        <v>5.5776637333934751</v>
      </c>
      <c r="CV90" s="26">
        <v>5.0590639783537945</v>
      </c>
      <c r="CW90" s="26">
        <v>6.8464682065829958</v>
      </c>
      <c r="CX90" s="26">
        <v>6.6543224390188449</v>
      </c>
      <c r="CY90" s="26">
        <v>5.1683830156398898</v>
      </c>
      <c r="CZ90" s="26">
        <v>5.594990588667164</v>
      </c>
      <c r="DA90" s="26">
        <v>5.5691169351975658</v>
      </c>
      <c r="DB90" s="26">
        <v>6.2187642280426072</v>
      </c>
      <c r="DC90" s="26"/>
      <c r="DD90" s="26">
        <v>4.7683936504633282</v>
      </c>
      <c r="DE90" s="26">
        <v>6.8398595433096556</v>
      </c>
      <c r="DF90" s="26"/>
      <c r="DG90" s="26"/>
      <c r="DH90" s="26">
        <v>5.6245015284995121</v>
      </c>
      <c r="DI90" s="26">
        <v>5.8791631689856292</v>
      </c>
      <c r="DJ90" s="26">
        <v>5.3497595958873392</v>
      </c>
      <c r="DK90" s="26">
        <v>5.3211634390164555</v>
      </c>
      <c r="DL90" s="26">
        <v>4.9082587245668545</v>
      </c>
      <c r="DM90" s="26">
        <v>8.1975543089896643</v>
      </c>
      <c r="DN90" s="26">
        <v>6.8783018648658745</v>
      </c>
      <c r="DO90" s="26">
        <v>8.0220992916744116</v>
      </c>
      <c r="DP90" s="26">
        <v>7.3674932365542176</v>
      </c>
      <c r="DQ90" s="26">
        <v>6.412366602952301</v>
      </c>
      <c r="DR90" s="26">
        <v>4.9936302494679827</v>
      </c>
      <c r="DS90" s="26">
        <v>4.9024993379104069</v>
      </c>
      <c r="DT90" s="26"/>
      <c r="DU90" s="26"/>
      <c r="DV90" s="26">
        <v>7.7854864960459267</v>
      </c>
      <c r="DW90" s="26"/>
      <c r="DX90" s="26"/>
      <c r="DY90" s="26">
        <v>9.9126672667002698</v>
      </c>
      <c r="DZ90" s="26">
        <v>7.8833702476357796</v>
      </c>
      <c r="EA90" s="26">
        <v>7.4410449669162775</v>
      </c>
      <c r="EB90" s="26">
        <v>8.5277178745003859</v>
      </c>
      <c r="EC90" s="26">
        <v>6.6819444392548633</v>
      </c>
      <c r="ED90" s="26">
        <v>8.1725146024073823</v>
      </c>
      <c r="EE90" s="26">
        <v>7.8396125218769326</v>
      </c>
      <c r="EF90" s="26">
        <v>6.52021451328359</v>
      </c>
      <c r="EG90" s="26">
        <v>8.0022562475030163</v>
      </c>
      <c r="EH90" s="26"/>
      <c r="EI90" s="26">
        <v>6.8727735020532252</v>
      </c>
      <c r="EJ90" s="26">
        <v>6.7032176997414767</v>
      </c>
      <c r="EK90" s="26"/>
      <c r="EL90" s="26">
        <v>6.1343399695379084</v>
      </c>
      <c r="EM90" s="26">
        <v>0.63759934394079787</v>
      </c>
      <c r="EN90" s="26">
        <v>0.17621012608548844</v>
      </c>
      <c r="EO90" s="26">
        <v>0.10836486035799942</v>
      </c>
      <c r="EP90" s="26">
        <v>0.11051043929004527</v>
      </c>
      <c r="EQ90" s="26">
        <v>0.13621244621557102</v>
      </c>
      <c r="ER90" s="26">
        <v>0.82158889600360452</v>
      </c>
      <c r="ES90" s="26">
        <v>0.74010703501786135</v>
      </c>
      <c r="ET90" s="26">
        <v>0.68823096595231315</v>
      </c>
      <c r="EU90" s="26">
        <v>0.68662330365073354</v>
      </c>
      <c r="EV90" s="26">
        <v>0.56808913603613898</v>
      </c>
      <c r="EW90" s="26">
        <v>1.2366885247139736</v>
      </c>
      <c r="EX90" s="26">
        <v>1.1556355243083594</v>
      </c>
      <c r="EY90" s="26">
        <v>1.8088225622220135</v>
      </c>
      <c r="EZ90" s="26">
        <v>2.0565583864386352</v>
      </c>
      <c r="FA90" s="26">
        <v>4.4823013868079116</v>
      </c>
      <c r="FB90" s="26">
        <v>1.5628836922608864</v>
      </c>
      <c r="FC90" s="26">
        <v>3.5211561280024775</v>
      </c>
      <c r="FD90" s="26">
        <v>3.8532685468485184</v>
      </c>
      <c r="FE90" s="26">
        <v>3.5470273382276418</v>
      </c>
      <c r="FF90" s="26">
        <v>3.6802138767378363</v>
      </c>
      <c r="FG90" s="26">
        <v>3.8099705577275653</v>
      </c>
      <c r="FH90" s="26">
        <v>6.0547435163176129</v>
      </c>
      <c r="FI90" s="26"/>
      <c r="FJ90" s="26">
        <v>5.0086716181097923</v>
      </c>
      <c r="FK90" s="26">
        <v>5.6510234502902179</v>
      </c>
    </row>
    <row r="91" spans="3:167" x14ac:dyDescent="0.2">
      <c r="C91" s="10">
        <f t="shared" si="33"/>
        <v>2.077389993099553</v>
      </c>
      <c r="D91" s="10">
        <f t="shared" si="34"/>
        <v>8.1684741974599575</v>
      </c>
      <c r="E91" s="10" cm="1">
        <f t="array" ref="E91">gavg(AF91,EL91)</f>
        <v>4.8560823118784766</v>
      </c>
      <c r="F91" s="10" cm="1">
        <f t="array" ref="F91">lnstdev(AF91,EL91)</f>
        <v>0.29090502097121468</v>
      </c>
      <c r="G91" s="10">
        <f t="shared" si="35"/>
        <v>73</v>
      </c>
      <c r="H91" s="10">
        <f t="shared" si="36"/>
        <v>2.8990463053331168</v>
      </c>
      <c r="I91" s="10">
        <f t="shared" si="37"/>
        <v>3.9502776072221706</v>
      </c>
      <c r="J91" s="10"/>
      <c r="K91" s="10"/>
      <c r="L91" s="10">
        <f t="shared" si="38"/>
        <v>4</v>
      </c>
      <c r="M91" s="10">
        <f t="shared" si="39"/>
        <v>2.077389993099553</v>
      </c>
      <c r="N91" s="10">
        <f t="shared" si="40"/>
        <v>4.0491103337392174</v>
      </c>
      <c r="O91" s="10">
        <f t="shared" si="41"/>
        <v>10</v>
      </c>
      <c r="P91" s="10">
        <f t="shared" si="42"/>
        <v>5.2407446165760785</v>
      </c>
      <c r="Q91" s="10">
        <f t="shared" si="43"/>
        <v>8.1684741974599575</v>
      </c>
      <c r="R91" s="10">
        <f t="shared" si="44"/>
        <v>19</v>
      </c>
      <c r="S91" s="10">
        <f t="shared" si="45"/>
        <v>3.2487249458002383</v>
      </c>
      <c r="T91" s="10">
        <f t="shared" si="46"/>
        <v>6.7354522978189433</v>
      </c>
      <c r="U91" s="10">
        <f t="shared" si="47"/>
        <v>27</v>
      </c>
      <c r="V91" s="10">
        <f t="shared" si="24"/>
        <v>5.0320384230931241</v>
      </c>
      <c r="W91" s="10">
        <f t="shared" si="25"/>
        <v>7.7415138100193532</v>
      </c>
      <c r="X91" s="10">
        <f t="shared" si="26"/>
        <v>13</v>
      </c>
      <c r="Y91" s="10">
        <f t="shared" si="27"/>
        <v>5.9805420003862961</v>
      </c>
      <c r="Z91" s="10">
        <f t="shared" si="28"/>
        <v>5.9805420003862961</v>
      </c>
      <c r="AA91" s="10">
        <f t="shared" si="29"/>
        <v>1</v>
      </c>
      <c r="AB91" s="10">
        <f t="shared" si="30"/>
        <v>5.0320384230931241</v>
      </c>
      <c r="AC91" s="10">
        <f t="shared" si="31"/>
        <v>7.7415138100193532</v>
      </c>
      <c r="AD91" s="10">
        <f t="shared" si="32"/>
        <v>12</v>
      </c>
      <c r="AE91" t="s">
        <v>190</v>
      </c>
      <c r="AF91" s="26"/>
      <c r="AG91" s="26"/>
      <c r="AH91" s="26"/>
      <c r="AI91" s="26"/>
      <c r="AJ91" s="26"/>
      <c r="AK91" s="26"/>
      <c r="AL91" s="26">
        <v>3.9502776072221706</v>
      </c>
      <c r="AM91" s="26">
        <v>3.8204481933278442</v>
      </c>
      <c r="AN91" s="26">
        <v>2.8990463053331168</v>
      </c>
      <c r="AO91" s="26">
        <v>3.0460998559525874</v>
      </c>
      <c r="AP91" s="26">
        <v>3.9015319384578984</v>
      </c>
      <c r="AQ91" s="26">
        <v>4.0324241551015083</v>
      </c>
      <c r="AR91" s="26">
        <v>2.4087539710783048</v>
      </c>
      <c r="AS91" s="26">
        <v>2.5988468550675954</v>
      </c>
      <c r="AT91" s="26">
        <v>2.4975377660733624</v>
      </c>
      <c r="AU91" s="26"/>
      <c r="AV91" s="26">
        <v>2.4940490859525726</v>
      </c>
      <c r="AW91" s="26"/>
      <c r="AX91" s="26"/>
      <c r="AY91" s="26"/>
      <c r="AZ91" s="26"/>
      <c r="BA91" s="26"/>
      <c r="BB91" s="26">
        <v>2.077389993099553</v>
      </c>
      <c r="BC91" s="26"/>
      <c r="BD91" s="26"/>
      <c r="BE91" s="26"/>
      <c r="BF91" s="26"/>
      <c r="BG91" s="26"/>
      <c r="BH91" s="26"/>
      <c r="BI91" s="26">
        <v>3.887685418105959</v>
      </c>
      <c r="BJ91" s="26">
        <v>3.0668865507265997</v>
      </c>
      <c r="BK91" s="26">
        <v>4.0491103337392174</v>
      </c>
      <c r="BL91" s="26"/>
      <c r="BM91" s="26">
        <v>5.6967108509424049</v>
      </c>
      <c r="BN91" s="26">
        <v>6.5764190171402976</v>
      </c>
      <c r="BO91" s="26"/>
      <c r="BP91" s="26">
        <v>5.968040531828132</v>
      </c>
      <c r="BQ91" s="26">
        <v>8.1684741974599575</v>
      </c>
      <c r="BR91" s="26">
        <v>5.8007139352102666</v>
      </c>
      <c r="BS91" s="26">
        <v>6.0918131305765044</v>
      </c>
      <c r="BT91" s="26">
        <v>8.1174980313774423</v>
      </c>
      <c r="BU91" s="26">
        <v>6.4312736308774889</v>
      </c>
      <c r="BV91" s="26">
        <v>6.3480129336212183</v>
      </c>
      <c r="BW91" s="26">
        <v>5.821324467772973</v>
      </c>
      <c r="BX91" s="26">
        <v>5.7088959001580211</v>
      </c>
      <c r="BY91" s="26">
        <v>5.7910267374423983</v>
      </c>
      <c r="BZ91" s="26">
        <v>5.7614092633504805</v>
      </c>
      <c r="CA91" s="26">
        <v>7.0551494435079265</v>
      </c>
      <c r="CB91" s="26">
        <v>6.007268732546347</v>
      </c>
      <c r="CC91" s="26">
        <v>5.930704023686789</v>
      </c>
      <c r="CD91" s="26">
        <v>5.5628819216625125</v>
      </c>
      <c r="CE91" s="26">
        <v>5.362533094226932</v>
      </c>
      <c r="CF91" s="26">
        <v>5.2407446165760785</v>
      </c>
      <c r="CG91" s="26"/>
      <c r="CH91" s="26"/>
      <c r="CI91" s="26"/>
      <c r="CJ91" s="26"/>
      <c r="CK91" s="26"/>
      <c r="CL91" s="26"/>
      <c r="CM91" s="26"/>
      <c r="CN91" s="26"/>
      <c r="CO91" s="26"/>
      <c r="CP91" s="26">
        <v>4.5300019054238749</v>
      </c>
      <c r="CQ91" s="26">
        <v>4.5178025027989275</v>
      </c>
      <c r="CR91" s="26">
        <v>3.3950746364407207</v>
      </c>
      <c r="CS91" s="26">
        <v>5.7763007234186681</v>
      </c>
      <c r="CT91" s="26">
        <v>4.3065710023871615</v>
      </c>
      <c r="CU91" s="26">
        <v>3.8827381995634402</v>
      </c>
      <c r="CV91" s="26">
        <v>3.2487249458002383</v>
      </c>
      <c r="CW91" s="26">
        <v>5.3426987492817899</v>
      </c>
      <c r="CX91" s="26">
        <v>5.6472978874878201</v>
      </c>
      <c r="CY91" s="26">
        <v>4.1587397095032008</v>
      </c>
      <c r="CZ91" s="26">
        <v>4.7838482341628046</v>
      </c>
      <c r="DA91" s="26">
        <v>4.9225301746781893</v>
      </c>
      <c r="DB91" s="26">
        <v>4.8966046339725624</v>
      </c>
      <c r="DC91" s="26"/>
      <c r="DD91" s="26">
        <v>3.9966525665694972</v>
      </c>
      <c r="DE91" s="26">
        <v>4.6938071324304609</v>
      </c>
      <c r="DF91" s="26"/>
      <c r="DG91" s="26"/>
      <c r="DH91" s="26">
        <v>5.0267580592225674</v>
      </c>
      <c r="DI91" s="26">
        <v>4.6038320806672992</v>
      </c>
      <c r="DJ91" s="26">
        <v>5.2977799679061315</v>
      </c>
      <c r="DK91" s="26">
        <v>4.5548018302270039</v>
      </c>
      <c r="DL91" s="26">
        <v>4.4326497440326262</v>
      </c>
      <c r="DM91" s="26">
        <v>6.7354522978189433</v>
      </c>
      <c r="DN91" s="26">
        <v>5.5850136200566656</v>
      </c>
      <c r="DO91" s="26">
        <v>5.4551141788760695</v>
      </c>
      <c r="DP91" s="26">
        <v>4.9167729735368271</v>
      </c>
      <c r="DQ91" s="26">
        <v>4.8519257534729014</v>
      </c>
      <c r="DR91" s="26">
        <v>4.7537157090149353</v>
      </c>
      <c r="DS91" s="26">
        <v>4.327704405636295</v>
      </c>
      <c r="DT91" s="26"/>
      <c r="DU91" s="26"/>
      <c r="DV91" s="26">
        <v>5.9805420003862961</v>
      </c>
      <c r="DW91" s="26"/>
      <c r="DX91" s="26"/>
      <c r="DY91" s="26">
        <v>5.9773958684019037</v>
      </c>
      <c r="DZ91" s="26">
        <v>5.8402406967730096</v>
      </c>
      <c r="EA91" s="26">
        <v>6.3259605248394033</v>
      </c>
      <c r="EB91" s="26">
        <v>7.7415138100193532</v>
      </c>
      <c r="EC91" s="26">
        <v>6.155654344805801</v>
      </c>
      <c r="ED91" s="26">
        <v>6.1121726207461435</v>
      </c>
      <c r="EE91" s="26">
        <v>6.157519329771306</v>
      </c>
      <c r="EF91" s="26">
        <v>5.4328051641445443</v>
      </c>
      <c r="EG91" s="26">
        <v>6.3578452876193943</v>
      </c>
      <c r="EH91" s="26"/>
      <c r="EI91" s="26">
        <v>5.2365612840392179</v>
      </c>
      <c r="EJ91" s="26">
        <v>5.1665061144228064</v>
      </c>
      <c r="EK91" s="26"/>
      <c r="EL91" s="26">
        <v>5.0320384230931241</v>
      </c>
      <c r="EM91" s="26">
        <v>0.49055788678930018</v>
      </c>
      <c r="EN91" s="26">
        <v>0.23929191819496973</v>
      </c>
      <c r="EO91" s="26">
        <v>7.6072614170318076E-2</v>
      </c>
      <c r="EP91" s="26">
        <v>7.9595900182352949E-2</v>
      </c>
      <c r="EQ91" s="26">
        <v>9.692060298485361E-2</v>
      </c>
      <c r="ER91" s="26">
        <v>0.52679442773184437</v>
      </c>
      <c r="ES91" s="26">
        <v>0.22444279701953176</v>
      </c>
      <c r="ET91" s="26">
        <v>0.25393412835189377</v>
      </c>
      <c r="EU91" s="26">
        <v>0.18507868550361303</v>
      </c>
      <c r="EV91" s="26">
        <v>0.15575049773766131</v>
      </c>
      <c r="EW91" s="26">
        <v>0.59431145535750241</v>
      </c>
      <c r="EX91" s="26">
        <v>0.28398237421832706</v>
      </c>
      <c r="EY91" s="26">
        <v>0.48033777752466139</v>
      </c>
      <c r="EZ91" s="26">
        <v>0.54421009736507253</v>
      </c>
      <c r="FA91" s="26">
        <v>1.7644566327168449</v>
      </c>
      <c r="FB91" s="26">
        <v>0.53907898645821295</v>
      </c>
      <c r="FC91" s="26">
        <v>1.2963787033748626</v>
      </c>
      <c r="FD91" s="26">
        <v>1.4094346241072793</v>
      </c>
      <c r="FE91" s="26">
        <v>1.4703159082832651</v>
      </c>
      <c r="FF91" s="26">
        <v>1.9513440535829576</v>
      </c>
      <c r="FG91" s="26">
        <v>0.95381212342175936</v>
      </c>
      <c r="FH91" s="26">
        <v>2.9618801562099923</v>
      </c>
      <c r="FI91" s="26"/>
      <c r="FJ91" s="26">
        <v>2.3293662227801804</v>
      </c>
      <c r="FK91" s="26">
        <v>2.9352402419432368</v>
      </c>
    </row>
    <row r="92" spans="3:167" x14ac:dyDescent="0.2">
      <c r="C92" s="10">
        <f t="shared" si="33"/>
        <v>8.7120947606248739E-18</v>
      </c>
      <c r="D92" s="10">
        <f t="shared" si="34"/>
        <v>8.2173097987377898E-9</v>
      </c>
      <c r="E92" s="10" cm="1">
        <f t="array" ref="E92">gavg(AF92,EL92)</f>
        <v>6.847962014330372E-13</v>
      </c>
      <c r="F92" s="10" cm="1">
        <f t="array" ref="F92">lnstdev(AF92,EL92)</f>
        <v>4.0454482940750394</v>
      </c>
      <c r="G92" s="10">
        <f t="shared" si="35"/>
        <v>73</v>
      </c>
      <c r="H92" s="10">
        <f t="shared" si="36"/>
        <v>2.669676882631224E-12</v>
      </c>
      <c r="I92" s="10">
        <f t="shared" si="37"/>
        <v>1.5825350835622817E-11</v>
      </c>
      <c r="J92" s="10"/>
      <c r="K92" s="10"/>
      <c r="L92" s="10">
        <f t="shared" si="38"/>
        <v>4</v>
      </c>
      <c r="M92" s="10">
        <f t="shared" si="39"/>
        <v>4.0557635286111469E-15</v>
      </c>
      <c r="N92" s="10">
        <f t="shared" si="40"/>
        <v>8.2173097987377898E-9</v>
      </c>
      <c r="O92" s="10">
        <f t="shared" si="41"/>
        <v>10</v>
      </c>
      <c r="P92" s="10">
        <f t="shared" si="42"/>
        <v>4.2591997980496593E-15</v>
      </c>
      <c r="Q92" s="10">
        <f t="shared" si="43"/>
        <v>1.1158999505730498E-11</v>
      </c>
      <c r="R92" s="10">
        <f t="shared" si="44"/>
        <v>19</v>
      </c>
      <c r="S92" s="10">
        <f t="shared" si="45"/>
        <v>8.7120947606248739E-18</v>
      </c>
      <c r="T92" s="10">
        <f t="shared" si="46"/>
        <v>7.151787676986893E-11</v>
      </c>
      <c r="U92" s="10">
        <f t="shared" si="47"/>
        <v>27</v>
      </c>
      <c r="V92" s="10">
        <f t="shared" si="24"/>
        <v>3.017645082040431E-16</v>
      </c>
      <c r="W92" s="10">
        <f t="shared" si="25"/>
        <v>1.9560604967246426E-10</v>
      </c>
      <c r="X92" s="10">
        <f t="shared" si="26"/>
        <v>13</v>
      </c>
      <c r="Y92" s="10">
        <f t="shared" si="27"/>
        <v>8.0356220938579823E-14</v>
      </c>
      <c r="Z92" s="10">
        <f t="shared" si="28"/>
        <v>8.0356220938579823E-14</v>
      </c>
      <c r="AA92" s="10">
        <f t="shared" si="29"/>
        <v>1</v>
      </c>
      <c r="AB92" s="10">
        <f t="shared" si="30"/>
        <v>3.017645082040431E-16</v>
      </c>
      <c r="AC92" s="10">
        <f t="shared" si="31"/>
        <v>1.9560604967246426E-10</v>
      </c>
      <c r="AD92" s="10">
        <f t="shared" si="32"/>
        <v>12</v>
      </c>
      <c r="AE92" t="s">
        <v>191</v>
      </c>
      <c r="AF92" s="26"/>
      <c r="AG92" s="26"/>
      <c r="AH92" s="26"/>
      <c r="AI92" s="26"/>
      <c r="AJ92" s="26"/>
      <c r="AK92" s="26"/>
      <c r="AL92" s="26">
        <v>2.669676882631224E-12</v>
      </c>
      <c r="AM92" s="26">
        <v>5.2478974767359008E-12</v>
      </c>
      <c r="AN92" s="26">
        <v>9.0714255833468313E-12</v>
      </c>
      <c r="AO92" s="26">
        <v>1.5825350835622817E-11</v>
      </c>
      <c r="AP92" s="26">
        <v>4.0557635286111469E-15</v>
      </c>
      <c r="AQ92" s="26">
        <v>7.165369878466508E-14</v>
      </c>
      <c r="AR92" s="26">
        <v>1.5414379877376523E-12</v>
      </c>
      <c r="AS92" s="26">
        <v>1.1783506893170548E-11</v>
      </c>
      <c r="AT92" s="26">
        <v>5.389126443520062E-11</v>
      </c>
      <c r="AU92" s="26"/>
      <c r="AV92" s="26">
        <v>4.0380227361637446E-10</v>
      </c>
      <c r="AW92" s="26"/>
      <c r="AX92" s="26"/>
      <c r="AY92" s="26"/>
      <c r="AZ92" s="26"/>
      <c r="BA92" s="26"/>
      <c r="BB92" s="26">
        <v>8.2173097987377898E-9</v>
      </c>
      <c r="BC92" s="26"/>
      <c r="BD92" s="26"/>
      <c r="BE92" s="26"/>
      <c r="BF92" s="26"/>
      <c r="BG92" s="26"/>
      <c r="BH92" s="26"/>
      <c r="BI92" s="26">
        <v>2.2065495477056969E-14</v>
      </c>
      <c r="BJ92" s="26">
        <v>4.2145121398564519E-13</v>
      </c>
      <c r="BK92" s="26">
        <v>8.0273329476365252E-14</v>
      </c>
      <c r="BL92" s="26"/>
      <c r="BM92" s="26">
        <v>2.0807037994805936E-14</v>
      </c>
      <c r="BN92" s="26">
        <v>8.0977715409558193E-13</v>
      </c>
      <c r="BO92" s="26"/>
      <c r="BP92" s="26">
        <v>4.2591997980496593E-15</v>
      </c>
      <c r="BQ92" s="26">
        <v>1.6841387692703434E-14</v>
      </c>
      <c r="BR92" s="26">
        <v>6.0269530843926263E-14</v>
      </c>
      <c r="BS92" s="26">
        <v>1.3634474886082469E-13</v>
      </c>
      <c r="BT92" s="26">
        <v>2.7071012717130562E-13</v>
      </c>
      <c r="BU92" s="26">
        <v>5.0395552877700305E-13</v>
      </c>
      <c r="BV92" s="26">
        <v>9.4292054447946091E-13</v>
      </c>
      <c r="BW92" s="26">
        <v>2.2417181907349225E-12</v>
      </c>
      <c r="BX92" s="26">
        <v>3.2332527359072417E-12</v>
      </c>
      <c r="BY92" s="26">
        <v>3.9871795512558267E-12</v>
      </c>
      <c r="BZ92" s="26">
        <v>5.1220776162576993E-15</v>
      </c>
      <c r="CA92" s="26">
        <v>5.1144408448861922E-13</v>
      </c>
      <c r="CB92" s="26">
        <v>5.1306719782690763E-13</v>
      </c>
      <c r="CC92" s="26">
        <v>4.1115617404113976E-12</v>
      </c>
      <c r="CD92" s="26">
        <v>5.6292447440447474E-12</v>
      </c>
      <c r="CE92" s="26">
        <v>8.0492264899283862E-12</v>
      </c>
      <c r="CF92" s="26">
        <v>1.1158999505730498E-11</v>
      </c>
      <c r="CG92" s="26"/>
      <c r="CH92" s="26"/>
      <c r="CI92" s="26"/>
      <c r="CJ92" s="26"/>
      <c r="CK92" s="26"/>
      <c r="CL92" s="26"/>
      <c r="CM92" s="26"/>
      <c r="CN92" s="26"/>
      <c r="CO92" s="26"/>
      <c r="CP92" s="26">
        <v>2.6206274799932649E-15</v>
      </c>
      <c r="CQ92" s="26">
        <v>1.3164596337229942E-14</v>
      </c>
      <c r="CR92" s="26">
        <v>4.7797498166477455E-14</v>
      </c>
      <c r="CS92" s="26">
        <v>1.0756647694047304E-13</v>
      </c>
      <c r="CT92" s="26">
        <v>2.3450528614978086E-13</v>
      </c>
      <c r="CU92" s="26">
        <v>5.0054012553943129E-13</v>
      </c>
      <c r="CV92" s="26">
        <v>8.6418908202326186E-13</v>
      </c>
      <c r="CW92" s="26">
        <v>1.1864251705331216E-12</v>
      </c>
      <c r="CX92" s="26">
        <v>1.7380798977553012E-12</v>
      </c>
      <c r="CY92" s="26">
        <v>3.0015324968106709E-12</v>
      </c>
      <c r="CZ92" s="26">
        <v>3.9061561346601861E-12</v>
      </c>
      <c r="DA92" s="26">
        <v>5.6104519374086992E-12</v>
      </c>
      <c r="DB92" s="26">
        <v>6.8189647874828451E-12</v>
      </c>
      <c r="DC92" s="26"/>
      <c r="DD92" s="26">
        <v>7.0992651430556806E-12</v>
      </c>
      <c r="DE92" s="26">
        <v>4.4374780652507759E-16</v>
      </c>
      <c r="DF92" s="26"/>
      <c r="DG92" s="26"/>
      <c r="DH92" s="26">
        <v>1.6039796133065587E-11</v>
      </c>
      <c r="DI92" s="26">
        <v>2.514495635012492E-11</v>
      </c>
      <c r="DJ92" s="26">
        <v>3.7428967170305778E-11</v>
      </c>
      <c r="DK92" s="26">
        <v>5.3605178196701441E-11</v>
      </c>
      <c r="DL92" s="26">
        <v>7.151787676986893E-11</v>
      </c>
      <c r="DM92" s="26">
        <v>8.7120947606248739E-18</v>
      </c>
      <c r="DN92" s="26">
        <v>2.4378702365797475E-16</v>
      </c>
      <c r="DO92" s="26">
        <v>3.9959459560781666E-17</v>
      </c>
      <c r="DP92" s="26">
        <v>1.0318413525645953E-15</v>
      </c>
      <c r="DQ92" s="26">
        <v>1.4028966243388583E-16</v>
      </c>
      <c r="DR92" s="26">
        <v>2.2069307674129053E-11</v>
      </c>
      <c r="DS92" s="26">
        <v>4.2016191642075485E-11</v>
      </c>
      <c r="DT92" s="26"/>
      <c r="DU92" s="26"/>
      <c r="DV92" s="26">
        <v>8.0356220938579823E-14</v>
      </c>
      <c r="DW92" s="26"/>
      <c r="DX92" s="26"/>
      <c r="DY92" s="26">
        <v>3.017645082040431E-16</v>
      </c>
      <c r="DZ92" s="26">
        <v>8.5105284569761169E-14</v>
      </c>
      <c r="EA92" s="26">
        <v>3.5759062966464081E-13</v>
      </c>
      <c r="EB92" s="26">
        <v>9.6930848624213755E-13</v>
      </c>
      <c r="EC92" s="26">
        <v>2.6297218592627775E-12</v>
      </c>
      <c r="ED92" s="26">
        <v>5.3861727807754633E-12</v>
      </c>
      <c r="EE92" s="26">
        <v>9.1312372462917382E-12</v>
      </c>
      <c r="EF92" s="26">
        <v>1.9314283243628442E-11</v>
      </c>
      <c r="EG92" s="26">
        <v>3.8840248881755481E-11</v>
      </c>
      <c r="EH92" s="26"/>
      <c r="EI92" s="26">
        <v>1.843464033702778E-10</v>
      </c>
      <c r="EJ92" s="26">
        <v>1.9560604967246426E-10</v>
      </c>
      <c r="EK92" s="26"/>
      <c r="EL92" s="26">
        <v>7.8340050686085069E-11</v>
      </c>
      <c r="EM92" s="26">
        <v>3.879120387950697E-16</v>
      </c>
      <c r="EN92" s="26">
        <v>1.1575445472480076E-13</v>
      </c>
      <c r="EO92" s="26">
        <v>1.5918742663264915E-11</v>
      </c>
      <c r="EP92" s="26">
        <v>5.8181821860918335E-11</v>
      </c>
      <c r="EQ92" s="26">
        <v>1.4889089556379141E-10</v>
      </c>
      <c r="ER92" s="26">
        <v>3.1939283666260653E-16</v>
      </c>
      <c r="ES92" s="26">
        <v>1.0085133631820203E-13</v>
      </c>
      <c r="ET92" s="26">
        <v>1.4794223434380192E-11</v>
      </c>
      <c r="EU92" s="26">
        <v>5.52088467421587E-11</v>
      </c>
      <c r="EV92" s="26">
        <v>1.453618834103875E-10</v>
      </c>
      <c r="EW92" s="26">
        <v>3.0913757858415119E-16</v>
      </c>
      <c r="EX92" s="26">
        <v>9.718206491474819E-14</v>
      </c>
      <c r="EY92" s="26">
        <v>1.230925055107288E-11</v>
      </c>
      <c r="EZ92" s="26">
        <v>4.2971029187683986E-11</v>
      </c>
      <c r="FA92" s="26">
        <v>7.0665193780226517E-11</v>
      </c>
      <c r="FB92" s="26">
        <v>3.0450319965336306E-16</v>
      </c>
      <c r="FC92" s="26">
        <v>8.7445671039533694E-14</v>
      </c>
      <c r="FD92" s="26">
        <v>1.0514129209101302E-11</v>
      </c>
      <c r="FE92" s="26">
        <v>3.2692717363241235E-11</v>
      </c>
      <c r="FF92" s="26">
        <v>7.2823116017975956E-11</v>
      </c>
      <c r="FG92" s="26">
        <v>3.0687638882861431E-16</v>
      </c>
      <c r="FH92" s="26">
        <v>8.0726846784238117E-14</v>
      </c>
      <c r="FI92" s="26"/>
      <c r="FJ92" s="26">
        <v>3.3489024081916023E-11</v>
      </c>
      <c r="FK92" s="26">
        <v>1.8105498007635626E-10</v>
      </c>
    </row>
    <row r="93" spans="3:167" x14ac:dyDescent="0.2">
      <c r="C93" s="10">
        <f t="shared" si="33"/>
        <v>1482.8548539145206</v>
      </c>
      <c r="D93" s="10">
        <f t="shared" si="34"/>
        <v>224642.03473757126</v>
      </c>
      <c r="E93" s="10" cm="1">
        <f t="array" ref="E93">gavg(AF93,EL93)</f>
        <v>27134.022822689378</v>
      </c>
      <c r="F93" s="10" cm="1">
        <f t="array" ref="F93">lnstdev(AF93,EL93)</f>
        <v>1.1875607203693677</v>
      </c>
      <c r="G93" s="10">
        <f t="shared" si="35"/>
        <v>73</v>
      </c>
      <c r="H93" s="10">
        <f t="shared" si="36"/>
        <v>3120.5891428855925</v>
      </c>
      <c r="I93" s="10">
        <f t="shared" si="37"/>
        <v>11769.334533268413</v>
      </c>
      <c r="J93" s="10"/>
      <c r="K93" s="10"/>
      <c r="L93" s="10">
        <f t="shared" si="38"/>
        <v>4</v>
      </c>
      <c r="M93" s="10">
        <f t="shared" si="39"/>
        <v>1482.8548539145206</v>
      </c>
      <c r="N93" s="10">
        <f t="shared" si="40"/>
        <v>7310.0603889668591</v>
      </c>
      <c r="O93" s="10">
        <f t="shared" si="41"/>
        <v>10</v>
      </c>
      <c r="P93" s="10">
        <f t="shared" si="42"/>
        <v>13506.108009808735</v>
      </c>
      <c r="Q93" s="10">
        <f t="shared" si="43"/>
        <v>224642.03473757126</v>
      </c>
      <c r="R93" s="10">
        <f t="shared" si="44"/>
        <v>19</v>
      </c>
      <c r="S93" s="10">
        <f t="shared" si="45"/>
        <v>11404.705427792303</v>
      </c>
      <c r="T93" s="10">
        <f t="shared" si="46"/>
        <v>97748.362869587727</v>
      </c>
      <c r="U93" s="10">
        <f t="shared" si="47"/>
        <v>27</v>
      </c>
      <c r="V93" s="10">
        <f t="shared" si="24"/>
        <v>44526.137577036774</v>
      </c>
      <c r="W93" s="10">
        <f t="shared" si="25"/>
        <v>173936.96618216299</v>
      </c>
      <c r="X93" s="10">
        <f t="shared" si="26"/>
        <v>13</v>
      </c>
      <c r="Y93" s="10">
        <f t="shared" si="27"/>
        <v>129049.76082291063</v>
      </c>
      <c r="Z93" s="10">
        <f t="shared" si="28"/>
        <v>129049.76082291063</v>
      </c>
      <c r="AA93" s="10">
        <f t="shared" si="29"/>
        <v>1</v>
      </c>
      <c r="AB93" s="10">
        <f t="shared" si="30"/>
        <v>44526.137577036774</v>
      </c>
      <c r="AC93" s="10">
        <f t="shared" si="31"/>
        <v>173936.96618216299</v>
      </c>
      <c r="AD93" s="10">
        <f t="shared" si="32"/>
        <v>12</v>
      </c>
      <c r="AE93" t="s">
        <v>193</v>
      </c>
      <c r="AF93" s="26"/>
      <c r="AG93" s="26"/>
      <c r="AH93" s="26"/>
      <c r="AI93" s="26"/>
      <c r="AJ93" s="26"/>
      <c r="AK93" s="26"/>
      <c r="AL93" s="26">
        <v>11151.375731529815</v>
      </c>
      <c r="AM93" s="26">
        <v>11769.334533268413</v>
      </c>
      <c r="AN93" s="26">
        <v>6760.9610459233027</v>
      </c>
      <c r="AO93" s="26">
        <v>3120.5891428855925</v>
      </c>
      <c r="AP93" s="26">
        <v>5717.3604700543519</v>
      </c>
      <c r="AQ93" s="26">
        <v>1630.8766250617202</v>
      </c>
      <c r="AR93" s="26">
        <v>3534.6163797438758</v>
      </c>
      <c r="AS93" s="26">
        <v>5155.788177513391</v>
      </c>
      <c r="AT93" s="26">
        <v>7310.0603889668591</v>
      </c>
      <c r="AU93" s="26"/>
      <c r="AV93" s="26">
        <v>1482.8548539145206</v>
      </c>
      <c r="AW93" s="26"/>
      <c r="AX93" s="26"/>
      <c r="AY93" s="26"/>
      <c r="AZ93" s="26"/>
      <c r="BA93" s="26"/>
      <c r="BB93" s="26">
        <v>2713.3705493719431</v>
      </c>
      <c r="BC93" s="26"/>
      <c r="BD93" s="26"/>
      <c r="BE93" s="26"/>
      <c r="BF93" s="26"/>
      <c r="BG93" s="26"/>
      <c r="BH93" s="26"/>
      <c r="BI93" s="26">
        <v>3677.5843339657872</v>
      </c>
      <c r="BJ93" s="26">
        <v>5079.758460356491</v>
      </c>
      <c r="BK93" s="26">
        <v>2157.2657979720848</v>
      </c>
      <c r="BL93" s="26"/>
      <c r="BM93" s="26">
        <v>76789.678325931643</v>
      </c>
      <c r="BN93" s="26">
        <v>48398.418609093169</v>
      </c>
      <c r="BO93" s="26"/>
      <c r="BP93" s="26">
        <v>91678.896277306951</v>
      </c>
      <c r="BQ93" s="26">
        <v>224642.03473757126</v>
      </c>
      <c r="BR93" s="26">
        <v>64728.326413491282</v>
      </c>
      <c r="BS93" s="26">
        <v>74990.150982065039</v>
      </c>
      <c r="BT93" s="26">
        <v>119385.0479973624</v>
      </c>
      <c r="BU93" s="26">
        <v>62306.42228886154</v>
      </c>
      <c r="BV93" s="26">
        <v>57462.728611222301</v>
      </c>
      <c r="BW93" s="26">
        <v>31835.631606883915</v>
      </c>
      <c r="BX93" s="26">
        <v>35811.619829633077</v>
      </c>
      <c r="BY93" s="26">
        <v>31196.657806549105</v>
      </c>
      <c r="BZ93" s="26">
        <v>73640.704112497697</v>
      </c>
      <c r="CA93" s="26">
        <v>69712.975747131306</v>
      </c>
      <c r="CB93" s="26">
        <v>59471.176907953442</v>
      </c>
      <c r="CC93" s="26">
        <v>25097.362182333869</v>
      </c>
      <c r="CD93" s="26">
        <v>26006.168889843815</v>
      </c>
      <c r="CE93" s="26">
        <v>14326.63504644465</v>
      </c>
      <c r="CF93" s="26">
        <v>13506.108009808735</v>
      </c>
      <c r="CG93" s="26"/>
      <c r="CH93" s="26"/>
      <c r="CI93" s="26"/>
      <c r="CJ93" s="26"/>
      <c r="CK93" s="26"/>
      <c r="CL93" s="26"/>
      <c r="CM93" s="26"/>
      <c r="CN93" s="26"/>
      <c r="CO93" s="26"/>
      <c r="CP93" s="26">
        <v>21829.51002291869</v>
      </c>
      <c r="CQ93" s="26">
        <v>29598.763633600938</v>
      </c>
      <c r="CR93" s="26">
        <v>21061.966701349989</v>
      </c>
      <c r="CS93" s="26">
        <v>41628.566848175346</v>
      </c>
      <c r="CT93" s="26">
        <v>16067.785424409871</v>
      </c>
      <c r="CU93" s="26">
        <v>28215.390896847595</v>
      </c>
      <c r="CV93" s="26">
        <v>12284.124847885116</v>
      </c>
      <c r="CW93" s="26">
        <v>28178.192823388879</v>
      </c>
      <c r="CX93" s="26">
        <v>42919.670326281208</v>
      </c>
      <c r="CY93" s="26">
        <v>15714.324912064536</v>
      </c>
      <c r="CZ93" s="26">
        <v>18993.052016434813</v>
      </c>
      <c r="DA93" s="26">
        <v>20888.027259983268</v>
      </c>
      <c r="DB93" s="26">
        <v>39140.044227110971</v>
      </c>
      <c r="DC93" s="26"/>
      <c r="DD93" s="26">
        <v>11404.705427792303</v>
      </c>
      <c r="DE93" s="26">
        <v>42907.70266917652</v>
      </c>
      <c r="DF93" s="26"/>
      <c r="DG93" s="26"/>
      <c r="DH93" s="26">
        <v>23195.349313634903</v>
      </c>
      <c r="DI93" s="26">
        <v>31980.285749367562</v>
      </c>
      <c r="DJ93" s="26">
        <v>20138.726457698769</v>
      </c>
      <c r="DK93" s="26">
        <v>17730.03136336324</v>
      </c>
      <c r="DL93" s="26">
        <v>12309.153762613465</v>
      </c>
      <c r="DM93" s="26">
        <v>63234.511107527709</v>
      </c>
      <c r="DN93" s="26">
        <v>35084.838973366699</v>
      </c>
      <c r="DO93" s="26">
        <v>97748.362869587727</v>
      </c>
      <c r="DP93" s="26">
        <v>71810.258752921451</v>
      </c>
      <c r="DQ93" s="26">
        <v>27224.974505253107</v>
      </c>
      <c r="DR93" s="26">
        <v>11727.153641275927</v>
      </c>
      <c r="DS93" s="26">
        <v>11817.400100408118</v>
      </c>
      <c r="DT93" s="26"/>
      <c r="DU93" s="26"/>
      <c r="DV93" s="26">
        <v>129049.76082291063</v>
      </c>
      <c r="DW93" s="26"/>
      <c r="DX93" s="26"/>
      <c r="DY93" s="26">
        <v>138182.43219498024</v>
      </c>
      <c r="DZ93" s="26">
        <v>76569.861972086626</v>
      </c>
      <c r="EA93" s="26">
        <v>96341.591042395681</v>
      </c>
      <c r="EB93" s="26">
        <v>173936.96618216299</v>
      </c>
      <c r="EC93" s="26">
        <v>72627.936562671675</v>
      </c>
      <c r="ED93" s="26">
        <v>172811.32377168801</v>
      </c>
      <c r="EE93" s="26">
        <v>105780.61867461109</v>
      </c>
      <c r="EF93" s="26">
        <v>46950.014006776029</v>
      </c>
      <c r="EG93" s="26">
        <v>157069.00279076872</v>
      </c>
      <c r="EH93" s="26"/>
      <c r="EI93" s="26">
        <v>54422.898652648597</v>
      </c>
      <c r="EJ93" s="26">
        <v>77004.855841487413</v>
      </c>
      <c r="EK93" s="26"/>
      <c r="EL93" s="26">
        <v>44526.137577036774</v>
      </c>
      <c r="EM93" s="26">
        <v>51.586484523380228</v>
      </c>
      <c r="EN93" s="26">
        <v>0.18257988540283646</v>
      </c>
      <c r="EO93" s="26">
        <v>2.7285251088526833E-3</v>
      </c>
      <c r="EP93" s="26">
        <v>3.5824794865479742E-3</v>
      </c>
      <c r="EQ93" s="26">
        <v>7.8675752360345044E-3</v>
      </c>
      <c r="ER93" s="26">
        <v>49.335297947109225</v>
      </c>
      <c r="ES93" s="26">
        <v>8.8975053600449296</v>
      </c>
      <c r="ET93" s="26">
        <v>6.6314268132744063</v>
      </c>
      <c r="EU93" s="26">
        <v>4.9220712965991371</v>
      </c>
      <c r="EV93" s="26">
        <v>2.0497348459146343</v>
      </c>
      <c r="EW93" s="26">
        <v>123.60912132021771</v>
      </c>
      <c r="EX93" s="26">
        <v>39.394051875615332</v>
      </c>
      <c r="EY93" s="26">
        <v>120.92624295412419</v>
      </c>
      <c r="EZ93" s="26">
        <v>145.41771977861592</v>
      </c>
      <c r="FA93" s="26">
        <v>2942.7562949945768</v>
      </c>
      <c r="FB93" s="26">
        <v>209.14719870741499</v>
      </c>
      <c r="FC93" s="26">
        <v>1511.4239792465751</v>
      </c>
      <c r="FD93" s="26">
        <v>2521.5643988826728</v>
      </c>
      <c r="FE93" s="26">
        <v>2432.7283680536816</v>
      </c>
      <c r="FF93" s="26">
        <v>2898.3907181817431</v>
      </c>
      <c r="FG93" s="26">
        <v>3643.6942026759502</v>
      </c>
      <c r="FH93" s="26">
        <v>17009.120186952005</v>
      </c>
      <c r="FI93" s="26"/>
      <c r="FJ93" s="26">
        <v>6467.6517627211988</v>
      </c>
      <c r="FK93" s="26">
        <v>7785.1906945950168</v>
      </c>
    </row>
    <row r="94" spans="3:167" x14ac:dyDescent="0.2">
      <c r="C94" s="10">
        <f t="shared" si="33"/>
        <v>434.35769010827789</v>
      </c>
      <c r="D94" s="10">
        <f t="shared" si="34"/>
        <v>191811.02912519133</v>
      </c>
      <c r="E94" s="10" cm="1">
        <f t="array" ref="E94">gavg(AF94,EL94)</f>
        <v>15476.423713234262</v>
      </c>
      <c r="F94" s="10" cm="1">
        <f t="array" ref="F94">lnstdev(AF94,EL94)</f>
        <v>1.3167077506654583</v>
      </c>
      <c r="G94" s="10">
        <f t="shared" si="35"/>
        <v>73</v>
      </c>
      <c r="H94" s="10">
        <f t="shared" si="36"/>
        <v>1356.0543364410773</v>
      </c>
      <c r="I94" s="10">
        <f t="shared" si="37"/>
        <v>4198.4593989340437</v>
      </c>
      <c r="J94" s="10"/>
      <c r="K94" s="10"/>
      <c r="L94" s="10">
        <f t="shared" si="38"/>
        <v>4</v>
      </c>
      <c r="M94" s="10">
        <f t="shared" si="39"/>
        <v>434.35769010827789</v>
      </c>
      <c r="N94" s="10">
        <f t="shared" si="40"/>
        <v>7719.3442309985321</v>
      </c>
      <c r="O94" s="10">
        <f t="shared" si="41"/>
        <v>10</v>
      </c>
      <c r="P94" s="10">
        <f t="shared" si="42"/>
        <v>19778.237386317276</v>
      </c>
      <c r="Q94" s="10">
        <f t="shared" si="43"/>
        <v>191811.02912519133</v>
      </c>
      <c r="R94" s="10">
        <f t="shared" si="44"/>
        <v>19</v>
      </c>
      <c r="S94" s="10">
        <f t="shared" si="45"/>
        <v>3346.6126174540141</v>
      </c>
      <c r="T94" s="10">
        <f t="shared" si="46"/>
        <v>65570.985621785716</v>
      </c>
      <c r="U94" s="10">
        <f t="shared" si="47"/>
        <v>27</v>
      </c>
      <c r="V94" s="10">
        <f t="shared" si="24"/>
        <v>23251.220367405323</v>
      </c>
      <c r="W94" s="10">
        <f t="shared" si="25"/>
        <v>136735.26526403462</v>
      </c>
      <c r="X94" s="10">
        <f t="shared" si="26"/>
        <v>13</v>
      </c>
      <c r="Y94" s="10">
        <f t="shared" si="27"/>
        <v>41477.356403968406</v>
      </c>
      <c r="Z94" s="10">
        <f t="shared" si="28"/>
        <v>41477.356403968406</v>
      </c>
      <c r="AA94" s="10">
        <f t="shared" si="29"/>
        <v>1</v>
      </c>
      <c r="AB94" s="10">
        <f t="shared" si="30"/>
        <v>23251.220367405323</v>
      </c>
      <c r="AC94" s="10">
        <f t="shared" si="31"/>
        <v>136735.26526403462</v>
      </c>
      <c r="AD94" s="10">
        <f t="shared" si="32"/>
        <v>12</v>
      </c>
      <c r="AE94" t="s">
        <v>196</v>
      </c>
      <c r="AF94" s="26"/>
      <c r="AG94" s="26"/>
      <c r="AH94" s="26"/>
      <c r="AI94" s="26"/>
      <c r="AJ94" s="26"/>
      <c r="AK94" s="26"/>
      <c r="AL94" s="26">
        <v>4198.4593989340437</v>
      </c>
      <c r="AM94" s="26">
        <v>3073.6332162557114</v>
      </c>
      <c r="AN94" s="26">
        <v>1356.0543364410773</v>
      </c>
      <c r="AO94" s="26">
        <v>1630.1782038176657</v>
      </c>
      <c r="AP94" s="26">
        <v>7719.3442309985321</v>
      </c>
      <c r="AQ94" s="26">
        <v>6219.66777913641</v>
      </c>
      <c r="AR94" s="26">
        <v>917.93302463104919</v>
      </c>
      <c r="AS94" s="26">
        <v>958.77860250719891</v>
      </c>
      <c r="AT94" s="26">
        <v>816.7177381299357</v>
      </c>
      <c r="AU94" s="26"/>
      <c r="AV94" s="26">
        <v>766.72098706461077</v>
      </c>
      <c r="AW94" s="26"/>
      <c r="AX94" s="26"/>
      <c r="AY94" s="26"/>
      <c r="AZ94" s="26"/>
      <c r="BA94" s="26"/>
      <c r="BB94" s="26">
        <v>434.35769010827789</v>
      </c>
      <c r="BC94" s="26"/>
      <c r="BD94" s="26"/>
      <c r="BE94" s="26"/>
      <c r="BF94" s="26"/>
      <c r="BG94" s="26"/>
      <c r="BH94" s="26"/>
      <c r="BI94" s="26">
        <v>6577.4538960913978</v>
      </c>
      <c r="BJ94" s="26">
        <v>2101.5248229597041</v>
      </c>
      <c r="BK94" s="26">
        <v>6421.7521247409486</v>
      </c>
      <c r="BL94" s="26"/>
      <c r="BM94" s="26">
        <v>27671.227990143972</v>
      </c>
      <c r="BN94" s="26">
        <v>52551.966074371667</v>
      </c>
      <c r="BO94" s="26"/>
      <c r="BP94" s="26">
        <v>43881.143698278036</v>
      </c>
      <c r="BQ94" s="26">
        <v>191811.02912519133</v>
      </c>
      <c r="BR94" s="26">
        <v>37576.684140991885</v>
      </c>
      <c r="BS94" s="26">
        <v>49512.541624437967</v>
      </c>
      <c r="BT94" s="26">
        <v>132518.16745269141</v>
      </c>
      <c r="BU94" s="26">
        <v>64525.915466347222</v>
      </c>
      <c r="BV94" s="26">
        <v>49193.839487173696</v>
      </c>
      <c r="BW94" s="26">
        <v>34132.011329586676</v>
      </c>
      <c r="BX94" s="26">
        <v>30688.254819649224</v>
      </c>
      <c r="BY94" s="26">
        <v>39437.844079654271</v>
      </c>
      <c r="BZ94" s="26">
        <v>34407.505944575278</v>
      </c>
      <c r="CA94" s="26">
        <v>77840.521248204343</v>
      </c>
      <c r="CB94" s="26">
        <v>39041.158386694398</v>
      </c>
      <c r="CC94" s="26">
        <v>46628.118454342883</v>
      </c>
      <c r="CD94" s="26">
        <v>31670.518844749466</v>
      </c>
      <c r="CE94" s="26">
        <v>26217.602424975117</v>
      </c>
      <c r="CF94" s="26">
        <v>19778.237386317276</v>
      </c>
      <c r="CG94" s="26"/>
      <c r="CH94" s="26"/>
      <c r="CI94" s="26"/>
      <c r="CJ94" s="26"/>
      <c r="CK94" s="26"/>
      <c r="CL94" s="26"/>
      <c r="CM94" s="26"/>
      <c r="CN94" s="26"/>
      <c r="CO94" s="26"/>
      <c r="CP94" s="26">
        <v>15742.827534491751</v>
      </c>
      <c r="CQ94" s="26">
        <v>10497.977986054238</v>
      </c>
      <c r="CR94" s="26">
        <v>3346.6126174540141</v>
      </c>
      <c r="CS94" s="26">
        <v>19566.923871415082</v>
      </c>
      <c r="CT94" s="26">
        <v>7726.0172726641804</v>
      </c>
      <c r="CU94" s="26">
        <v>5026.6227937641734</v>
      </c>
      <c r="CV94" s="26">
        <v>3605.7453060994608</v>
      </c>
      <c r="CW94" s="26">
        <v>14974.618226039949</v>
      </c>
      <c r="CX94" s="26">
        <v>31266.021762070719</v>
      </c>
      <c r="CY94" s="26">
        <v>7784.0180007936078</v>
      </c>
      <c r="CZ94" s="26">
        <v>14683.256733249993</v>
      </c>
      <c r="DA94" s="26">
        <v>13275.874965043193</v>
      </c>
      <c r="DB94" s="26">
        <v>12295.445704582105</v>
      </c>
      <c r="DC94" s="26"/>
      <c r="DD94" s="26">
        <v>6592.0366777255213</v>
      </c>
      <c r="DE94" s="26">
        <v>13205.821045630481</v>
      </c>
      <c r="DF94" s="26"/>
      <c r="DG94" s="26"/>
      <c r="DH94" s="26">
        <v>14549.690042623623</v>
      </c>
      <c r="DI94" s="26">
        <v>9745.1705596393749</v>
      </c>
      <c r="DJ94" s="26">
        <v>20037.051990794764</v>
      </c>
      <c r="DK94" s="26">
        <v>10618.250425510962</v>
      </c>
      <c r="DL94" s="26">
        <v>7970.6605671238294</v>
      </c>
      <c r="DM94" s="26">
        <v>65570.985621785716</v>
      </c>
      <c r="DN94" s="26">
        <v>26377.947296062219</v>
      </c>
      <c r="DO94" s="26">
        <v>25774.57779567632</v>
      </c>
      <c r="DP94" s="26">
        <v>18757.225398688373</v>
      </c>
      <c r="DQ94" s="26">
        <v>13879.270653678319</v>
      </c>
      <c r="DR94" s="26">
        <v>10596.40232466097</v>
      </c>
      <c r="DS94" s="26">
        <v>9965.1211158962997</v>
      </c>
      <c r="DT94" s="26"/>
      <c r="DU94" s="26"/>
      <c r="DV94" s="26">
        <v>41477.356403968406</v>
      </c>
      <c r="DW94" s="26"/>
      <c r="DX94" s="26"/>
      <c r="DY94" s="26">
        <v>32983.938831425745</v>
      </c>
      <c r="DZ94" s="26">
        <v>41270.54417774592</v>
      </c>
      <c r="EA94" s="26">
        <v>57539.043332581685</v>
      </c>
      <c r="EB94" s="26">
        <v>136735.26526403462</v>
      </c>
      <c r="EC94" s="26">
        <v>56034.533895846616</v>
      </c>
      <c r="ED94" s="26">
        <v>46315.877332481461</v>
      </c>
      <c r="EE94" s="26">
        <v>60127.884977582908</v>
      </c>
      <c r="EF94" s="26">
        <v>29867.492717713165</v>
      </c>
      <c r="EG94" s="26">
        <v>63463.433285705869</v>
      </c>
      <c r="EH94" s="26"/>
      <c r="EI94" s="26">
        <v>24051.754569557947</v>
      </c>
      <c r="EJ94" s="26">
        <v>30484.334871156982</v>
      </c>
      <c r="EK94" s="26"/>
      <c r="EL94" s="26">
        <v>23251.220367405323</v>
      </c>
      <c r="EM94" s="26">
        <v>22.942478052555884</v>
      </c>
      <c r="EN94" s="26">
        <v>0.137328707474347</v>
      </c>
      <c r="EO94" s="26">
        <v>3.1281078874477962E-4</v>
      </c>
      <c r="EP94" s="26">
        <v>3.2961651221424614E-4</v>
      </c>
      <c r="EQ94" s="26">
        <v>4.9059385968034362E-4</v>
      </c>
      <c r="ER94" s="26">
        <v>33.338257024470792</v>
      </c>
      <c r="ES94" s="26">
        <v>3.1211939484647448E-2</v>
      </c>
      <c r="ET94" s="26">
        <v>1.5120677573490882E-2</v>
      </c>
      <c r="EU94" s="26">
        <v>9.906304900338796E-3</v>
      </c>
      <c r="EV94" s="26">
        <v>3.1862435320537262E-3</v>
      </c>
      <c r="EW94" s="26">
        <v>39.69411087679061</v>
      </c>
      <c r="EX94" s="26">
        <v>9.2733414832764594E-2</v>
      </c>
      <c r="EY94" s="26">
        <v>1.0183628280983206</v>
      </c>
      <c r="EZ94" s="26">
        <v>1.5433374044175512</v>
      </c>
      <c r="FA94" s="26">
        <v>159.46233828995864</v>
      </c>
      <c r="FB94" s="26">
        <v>33.038309901294568</v>
      </c>
      <c r="FC94" s="26">
        <v>18.854060347599376</v>
      </c>
      <c r="FD94" s="26">
        <v>66.8744093976279</v>
      </c>
      <c r="FE94" s="26">
        <v>125.76705438874558</v>
      </c>
      <c r="FF94" s="26">
        <v>304.61196212421214</v>
      </c>
      <c r="FG94" s="26">
        <v>53.975561068378042</v>
      </c>
      <c r="FH94" s="26">
        <v>2195.3272335625388</v>
      </c>
      <c r="FI94" s="26"/>
      <c r="FJ94" s="26">
        <v>770.87335382436549</v>
      </c>
      <c r="FK94" s="26">
        <v>1355.3284124107224</v>
      </c>
    </row>
    <row r="95" spans="3:167" ht="11.25" customHeight="1" x14ac:dyDescent="0.2">
      <c r="C95" s="10">
        <f t="shared" si="33"/>
        <v>3.52255142553093</v>
      </c>
      <c r="D95" s="10">
        <f t="shared" si="34"/>
        <v>13.484969152564005</v>
      </c>
      <c r="E95" s="10" cm="1">
        <f t="array" ref="E95">gavg(AF95,EL95)</f>
        <v>7.6630490401298035</v>
      </c>
      <c r="F95" s="10" cm="1">
        <f t="array" ref="F95">lnstdev(AF95,EL95)</f>
        <v>0.31752960437684002</v>
      </c>
      <c r="G95" s="10">
        <f t="shared" si="35"/>
        <v>73</v>
      </c>
      <c r="H95" s="10">
        <f t="shared" si="36"/>
        <v>4.2979154085934459</v>
      </c>
      <c r="I95" s="10">
        <f t="shared" si="37"/>
        <v>6.1292359928204512</v>
      </c>
      <c r="J95" s="10"/>
      <c r="K95" s="10"/>
      <c r="L95" s="10">
        <f t="shared" si="38"/>
        <v>4</v>
      </c>
      <c r="M95" s="10">
        <f t="shared" si="39"/>
        <v>3.52255142553093</v>
      </c>
      <c r="N95" s="10">
        <f t="shared" si="40"/>
        <v>5.3963977447979259</v>
      </c>
      <c r="O95" s="10">
        <f t="shared" si="41"/>
        <v>10</v>
      </c>
      <c r="P95" s="10">
        <f t="shared" si="42"/>
        <v>6.3590149916729768</v>
      </c>
      <c r="Q95" s="10">
        <f t="shared" si="43"/>
        <v>13.484969152564005</v>
      </c>
      <c r="R95" s="10">
        <f t="shared" si="44"/>
        <v>19</v>
      </c>
      <c r="S95" s="10">
        <f t="shared" si="45"/>
        <v>6.0778760902500926</v>
      </c>
      <c r="T95" s="10">
        <f t="shared" si="46"/>
        <v>10.795030638909601</v>
      </c>
      <c r="U95" s="10">
        <f t="shared" si="47"/>
        <v>27</v>
      </c>
      <c r="V95" s="10">
        <f t="shared" si="24"/>
        <v>8.7481293899266319</v>
      </c>
      <c r="W95" s="10">
        <f t="shared" si="25"/>
        <v>12.593437950738654</v>
      </c>
      <c r="X95" s="10">
        <f t="shared" si="26"/>
        <v>13</v>
      </c>
      <c r="Y95" s="10">
        <f t="shared" si="27"/>
        <v>11.627400337732656</v>
      </c>
      <c r="Z95" s="10">
        <f t="shared" si="28"/>
        <v>11.627400337732656</v>
      </c>
      <c r="AA95" s="10">
        <f t="shared" si="29"/>
        <v>1</v>
      </c>
      <c r="AB95" s="10">
        <f t="shared" si="30"/>
        <v>8.7481293899266319</v>
      </c>
      <c r="AC95" s="10">
        <f t="shared" si="31"/>
        <v>12.593437950738654</v>
      </c>
      <c r="AD95" s="10">
        <f t="shared" si="32"/>
        <v>12</v>
      </c>
      <c r="AE95" s="5" t="s">
        <v>210</v>
      </c>
      <c r="AF95" s="26"/>
      <c r="AG95" s="26"/>
      <c r="AH95" s="26"/>
      <c r="AI95" s="26"/>
      <c r="AJ95" s="26"/>
      <c r="AK95" s="26"/>
      <c r="AL95" s="26">
        <v>6.0414806166082506</v>
      </c>
      <c r="AM95" s="26">
        <v>6.1292359928204512</v>
      </c>
      <c r="AN95" s="26">
        <v>5.2848958185987494</v>
      </c>
      <c r="AO95" s="26">
        <v>4.2979154085934459</v>
      </c>
      <c r="AP95" s="26">
        <v>5.0532147082786567</v>
      </c>
      <c r="AQ95" s="26">
        <v>3.6133175421953494</v>
      </c>
      <c r="AR95" s="26">
        <v>4.4434942874585293</v>
      </c>
      <c r="AS95" s="26">
        <v>4.9154385147601225</v>
      </c>
      <c r="AT95" s="26">
        <v>5.3963977447979259</v>
      </c>
      <c r="AU95" s="26"/>
      <c r="AV95" s="26">
        <v>3.52255142553093</v>
      </c>
      <c r="AW95" s="26"/>
      <c r="AX95" s="26"/>
      <c r="AY95" s="26"/>
      <c r="AZ95" s="26"/>
      <c r="BA95" s="26"/>
      <c r="BB95" s="26">
        <v>4.1401928182528742</v>
      </c>
      <c r="BC95" s="26"/>
      <c r="BD95" s="26"/>
      <c r="BE95" s="26"/>
      <c r="BF95" s="26"/>
      <c r="BG95" s="26"/>
      <c r="BH95" s="26"/>
      <c r="BI95" s="26">
        <v>4.490854651714832</v>
      </c>
      <c r="BJ95" s="26">
        <v>4.8959517967458943</v>
      </c>
      <c r="BK95" s="26">
        <v>3.8939295934451761</v>
      </c>
      <c r="BL95" s="26"/>
      <c r="BM95" s="26">
        <v>10.120470713192889</v>
      </c>
      <c r="BN95" s="26">
        <v>8.9453772336192614</v>
      </c>
      <c r="BO95" s="26"/>
      <c r="BP95" s="26">
        <v>10.611578666711525</v>
      </c>
      <c r="BQ95" s="26">
        <v>13.484969152564005</v>
      </c>
      <c r="BR95" s="26">
        <v>9.6684949677469909</v>
      </c>
      <c r="BS95" s="26">
        <v>10.056504925363537</v>
      </c>
      <c r="BT95" s="26">
        <v>11.387889643620143</v>
      </c>
      <c r="BU95" s="26">
        <v>9.5704123434084227</v>
      </c>
      <c r="BV95" s="26">
        <v>9.3655475104383363</v>
      </c>
      <c r="BW95" s="26">
        <v>7.9975610372982713</v>
      </c>
      <c r="BX95" s="26">
        <v>8.2532209331067783</v>
      </c>
      <c r="BY95" s="26">
        <v>7.954322186490991</v>
      </c>
      <c r="BZ95" s="26">
        <v>10.007795801208351</v>
      </c>
      <c r="CA95" s="26">
        <v>9.8621963860643529</v>
      </c>
      <c r="CB95" s="26">
        <v>9.4519747608689038</v>
      </c>
      <c r="CC95" s="26">
        <v>7.5048349972577322</v>
      </c>
      <c r="CD95" s="26">
        <v>7.5765537722697776</v>
      </c>
      <c r="CE95" s="26">
        <v>6.4600890770907728</v>
      </c>
      <c r="CF95" s="26">
        <v>6.3590149916729768</v>
      </c>
      <c r="CG95" s="26"/>
      <c r="CH95" s="26"/>
      <c r="CI95" s="26"/>
      <c r="CJ95" s="26"/>
      <c r="CK95" s="26"/>
      <c r="CL95" s="26"/>
      <c r="CM95" s="26"/>
      <c r="CN95" s="26"/>
      <c r="CO95" s="26"/>
      <c r="CP95" s="26">
        <v>7.230064864592558</v>
      </c>
      <c r="CQ95" s="26">
        <v>7.8432795970043863</v>
      </c>
      <c r="CR95" s="26">
        <v>7.1611992718238096</v>
      </c>
      <c r="CS95" s="26">
        <v>8.5921413030732001</v>
      </c>
      <c r="CT95" s="26">
        <v>6.661272134560023</v>
      </c>
      <c r="CU95" s="26">
        <v>7.7435399296450607</v>
      </c>
      <c r="CV95" s="26">
        <v>6.1997981508460969</v>
      </c>
      <c r="CW95" s="26">
        <v>7.7408089896434431</v>
      </c>
      <c r="CX95" s="26">
        <v>8.6625983848095451</v>
      </c>
      <c r="CY95" s="26">
        <v>6.621771797238047</v>
      </c>
      <c r="CZ95" s="26">
        <v>6.9659330774762003</v>
      </c>
      <c r="DA95" s="26">
        <v>7.1453382407870949</v>
      </c>
      <c r="DB95" s="26">
        <v>8.4516911292205865</v>
      </c>
      <c r="DC95" s="26"/>
      <c r="DD95" s="26">
        <v>6.0778760902500926</v>
      </c>
      <c r="DE95" s="26">
        <v>8.6619524722903734</v>
      </c>
      <c r="DF95" s="26"/>
      <c r="DG95" s="26"/>
      <c r="DH95" s="26">
        <v>7.3483443733593532</v>
      </c>
      <c r="DI95" s="26">
        <v>8.0072612621981989</v>
      </c>
      <c r="DJ95" s="26">
        <v>7.0758839302446521</v>
      </c>
      <c r="DK95" s="26">
        <v>6.8389367669751673</v>
      </c>
      <c r="DL95" s="26">
        <v>6.2031731981670291</v>
      </c>
      <c r="DM95" s="26">
        <v>9.608322876774281</v>
      </c>
      <c r="DN95" s="26">
        <v>8.2080991638713332</v>
      </c>
      <c r="DO95" s="26">
        <v>10.795030638909601</v>
      </c>
      <c r="DP95" s="26">
        <v>9.9406684789797772</v>
      </c>
      <c r="DQ95" s="26">
        <v>7.6699085645929568</v>
      </c>
      <c r="DR95" s="26">
        <v>6.1233547438995259</v>
      </c>
      <c r="DS95" s="26">
        <v>6.1359189433264092</v>
      </c>
      <c r="DT95" s="26"/>
      <c r="DU95" s="26"/>
      <c r="DV95" s="26">
        <v>11.627400337732656</v>
      </c>
      <c r="DW95" s="26"/>
      <c r="DX95" s="26"/>
      <c r="DY95" s="26">
        <v>11.841933921401584</v>
      </c>
      <c r="DZ95" s="26">
        <v>10.112716420782542</v>
      </c>
      <c r="EA95" s="26">
        <v>10.75326981223963</v>
      </c>
      <c r="EB95" s="26">
        <v>12.593437950738654</v>
      </c>
      <c r="EC95" s="26">
        <v>9.9708079988168254</v>
      </c>
      <c r="ED95" s="26">
        <v>12.57159489291657</v>
      </c>
      <c r="EE95" s="26">
        <v>11.025393435074347</v>
      </c>
      <c r="EF95" s="26">
        <v>8.8729996804417208</v>
      </c>
      <c r="EG95" s="26">
        <v>12.254596368878824</v>
      </c>
      <c r="EH95" s="26"/>
      <c r="EI95" s="26">
        <v>9.2304269063872528</v>
      </c>
      <c r="EJ95" s="26">
        <v>10.128045629794443</v>
      </c>
      <c r="EK95" s="26"/>
      <c r="EL95" s="26">
        <v>8.7481293899266319</v>
      </c>
      <c r="EM95" s="26">
        <v>1.4350509238320786</v>
      </c>
      <c r="EN95" s="26">
        <v>0.31732005856477558</v>
      </c>
      <c r="EO95" s="26">
        <v>0.10313100348763965</v>
      </c>
      <c r="EP95" s="26">
        <v>0.1109196345639496</v>
      </c>
      <c r="EQ95" s="26">
        <v>0.13688650039059466</v>
      </c>
      <c r="ER95" s="26">
        <v>1.4180318375398304</v>
      </c>
      <c r="ES95" s="26">
        <v>0.89698472350598446</v>
      </c>
      <c r="ET95" s="26">
        <v>0.82918419468185056</v>
      </c>
      <c r="EU95" s="26">
        <v>0.76566057960295009</v>
      </c>
      <c r="EV95" s="26">
        <v>0.60577539735624197</v>
      </c>
      <c r="EW95" s="26">
        <v>1.812766224973942</v>
      </c>
      <c r="EX95" s="26">
        <v>1.3352289508778399</v>
      </c>
      <c r="EY95" s="26">
        <v>1.8021614002861099</v>
      </c>
      <c r="EZ95" s="26">
        <v>1.8932585738372227</v>
      </c>
      <c r="FA95" s="26">
        <v>4.2310135424457789</v>
      </c>
      <c r="FB95" s="26">
        <v>2.0864680054293054</v>
      </c>
      <c r="FC95" s="26">
        <v>3.5405708977476902</v>
      </c>
      <c r="FD95" s="26">
        <v>4.0598263187510071</v>
      </c>
      <c r="FE95" s="26">
        <v>4.0210792252244607</v>
      </c>
      <c r="FF95" s="26">
        <v>4.2138630160823984</v>
      </c>
      <c r="FG95" s="26">
        <v>4.4797516758006779</v>
      </c>
      <c r="FH95" s="26">
        <v>6.7634511858782211</v>
      </c>
      <c r="FI95" s="26"/>
      <c r="FJ95" s="26">
        <v>5.2225933940640497</v>
      </c>
      <c r="FK95" s="26">
        <v>5.4880281350535407</v>
      </c>
    </row>
    <row r="96" spans="3:167" x14ac:dyDescent="0.2">
      <c r="C96" s="10">
        <f t="shared" si="33"/>
        <v>2.536745078640724</v>
      </c>
      <c r="D96" s="10">
        <f t="shared" si="34"/>
        <v>12.927157671770168</v>
      </c>
      <c r="E96" s="10" cm="1">
        <f t="array" ref="E96">gavg(AF96,EL96)</f>
        <v>6.5948175971817218</v>
      </c>
      <c r="F96" s="10" cm="1">
        <f t="array" ref="F96">lnstdev(AF96,EL96)</f>
        <v>0.35206089589985112</v>
      </c>
      <c r="G96" s="10">
        <f t="shared" si="35"/>
        <v>73</v>
      </c>
      <c r="H96" s="10">
        <f t="shared" si="36"/>
        <v>3.4393569277814708</v>
      </c>
      <c r="I96" s="10">
        <f t="shared" si="37"/>
        <v>4.6527598235675249</v>
      </c>
      <c r="J96" s="10"/>
      <c r="K96" s="10"/>
      <c r="L96" s="10">
        <f t="shared" si="38"/>
        <v>4</v>
      </c>
      <c r="M96" s="10">
        <f t="shared" si="39"/>
        <v>2.536745078640724</v>
      </c>
      <c r="N96" s="10">
        <f t="shared" si="40"/>
        <v>5.4755784611121161</v>
      </c>
      <c r="O96" s="10">
        <f t="shared" si="41"/>
        <v>10</v>
      </c>
      <c r="P96" s="10">
        <f t="shared" si="42"/>
        <v>7.0417931291632536</v>
      </c>
      <c r="Q96" s="10">
        <f t="shared" si="43"/>
        <v>12.927157671770168</v>
      </c>
      <c r="R96" s="10">
        <f t="shared" si="44"/>
        <v>19</v>
      </c>
      <c r="S96" s="10">
        <f t="shared" si="45"/>
        <v>4.3790295625014277</v>
      </c>
      <c r="T96" s="10">
        <f t="shared" si="46"/>
        <v>9.7019903060697743</v>
      </c>
      <c r="U96" s="10">
        <f t="shared" si="47"/>
        <v>27</v>
      </c>
      <c r="V96" s="10">
        <f t="shared" si="24"/>
        <v>7.3530728474436851</v>
      </c>
      <c r="W96" s="10">
        <f t="shared" si="25"/>
        <v>11.808645757253798</v>
      </c>
      <c r="X96" s="10">
        <f t="shared" si="26"/>
        <v>13</v>
      </c>
      <c r="Y96" s="10">
        <f t="shared" si="27"/>
        <v>8.5837852954236631</v>
      </c>
      <c r="Z96" s="10">
        <f t="shared" si="28"/>
        <v>8.5837852954236631</v>
      </c>
      <c r="AA96" s="10">
        <f t="shared" si="29"/>
        <v>1</v>
      </c>
      <c r="AB96" s="10">
        <f t="shared" si="30"/>
        <v>7.3530728474436851</v>
      </c>
      <c r="AC96" s="10">
        <f t="shared" si="31"/>
        <v>11.808645757253798</v>
      </c>
      <c r="AD96" s="10">
        <f t="shared" si="32"/>
        <v>12</v>
      </c>
      <c r="AE96" s="5" t="s">
        <v>211</v>
      </c>
      <c r="AF96" s="26"/>
      <c r="AG96" s="26"/>
      <c r="AH96" s="26"/>
      <c r="AI96" s="26"/>
      <c r="AJ96" s="26"/>
      <c r="AK96" s="26"/>
      <c r="AL96" s="26">
        <v>4.6527598235675249</v>
      </c>
      <c r="AM96" s="26">
        <v>4.2805274655235781</v>
      </c>
      <c r="AN96" s="26">
        <v>3.4393569277814708</v>
      </c>
      <c r="AO96" s="26">
        <v>3.6129037340831314</v>
      </c>
      <c r="AP96" s="26">
        <v>5.4755784611121161</v>
      </c>
      <c r="AQ96" s="26">
        <v>5.1682826595532747</v>
      </c>
      <c r="AR96" s="26">
        <v>3.0985995787371445</v>
      </c>
      <c r="AS96" s="26">
        <v>3.134879815279314</v>
      </c>
      <c r="AT96" s="26">
        <v>3.0033011206407316</v>
      </c>
      <c r="AU96" s="26"/>
      <c r="AV96" s="26">
        <v>2.9529997740314693</v>
      </c>
      <c r="AW96" s="26"/>
      <c r="AX96" s="26"/>
      <c r="AY96" s="26"/>
      <c r="AZ96" s="26"/>
      <c r="BA96" s="26"/>
      <c r="BB96" s="26">
        <v>2.536745078640724</v>
      </c>
      <c r="BC96" s="26"/>
      <c r="BD96" s="26"/>
      <c r="BE96" s="26"/>
      <c r="BF96" s="26"/>
      <c r="BG96" s="26"/>
      <c r="BH96" s="26"/>
      <c r="BI96" s="26">
        <v>5.2461545091174413</v>
      </c>
      <c r="BJ96" s="26">
        <v>3.8667689214808134</v>
      </c>
      <c r="BK96" s="26">
        <v>5.2126574434788768</v>
      </c>
      <c r="BL96" s="26"/>
      <c r="BM96" s="26">
        <v>7.7033235890944756</v>
      </c>
      <c r="BN96" s="26">
        <v>9.1444916587946974</v>
      </c>
      <c r="BO96" s="26"/>
      <c r="BP96" s="26">
        <v>8.7140648971788437</v>
      </c>
      <c r="BQ96" s="26">
        <v>12.927157671770168</v>
      </c>
      <c r="BR96" s="26">
        <v>8.3600761384121469</v>
      </c>
      <c r="BS96" s="26">
        <v>8.9999781210833945</v>
      </c>
      <c r="BT96" s="26">
        <v>11.710147435168425</v>
      </c>
      <c r="BU96" s="26">
        <v>9.6604016799591612</v>
      </c>
      <c r="BV96" s="26">
        <v>8.9844518836473455</v>
      </c>
      <c r="BW96" s="26">
        <v>8.1478940601600911</v>
      </c>
      <c r="BX96" s="26">
        <v>7.9194530647955013</v>
      </c>
      <c r="BY96" s="26">
        <v>8.4688373486197897</v>
      </c>
      <c r="BZ96" s="26">
        <v>8.1654266073084845</v>
      </c>
      <c r="CA96" s="26">
        <v>10.157317419596724</v>
      </c>
      <c r="CB96" s="26">
        <v>8.4459765120883326</v>
      </c>
      <c r="CC96" s="26">
        <v>8.8566927659923493</v>
      </c>
      <c r="CD96" s="26">
        <v>7.9864493524762779</v>
      </c>
      <c r="CE96" s="26">
        <v>7.5929751024784267</v>
      </c>
      <c r="CF96" s="26">
        <v>7.0417931291632536</v>
      </c>
      <c r="CG96" s="26"/>
      <c r="CH96" s="26"/>
      <c r="CI96" s="26"/>
      <c r="CJ96" s="26"/>
      <c r="CK96" s="26"/>
      <c r="CL96" s="26"/>
      <c r="CM96" s="26"/>
      <c r="CN96" s="26"/>
      <c r="CO96" s="26"/>
      <c r="CP96" s="26">
        <v>6.6249810457925706</v>
      </c>
      <c r="CQ96" s="26">
        <v>5.9447274054537775</v>
      </c>
      <c r="CR96" s="26">
        <v>4.3790295625014277</v>
      </c>
      <c r="CS96" s="26">
        <v>7.0215974595106143</v>
      </c>
      <c r="CT96" s="26">
        <v>5.4768436761823818</v>
      </c>
      <c r="CU96" s="26">
        <v>4.8822056936446092</v>
      </c>
      <c r="CV96" s="26">
        <v>4.4672288224686083</v>
      </c>
      <c r="CW96" s="26">
        <v>6.5369518717044457</v>
      </c>
      <c r="CX96" s="26">
        <v>7.9590472097189648</v>
      </c>
      <c r="CY96" s="26">
        <v>5.4878070883378705</v>
      </c>
      <c r="CZ96" s="26">
        <v>6.5026988056572304</v>
      </c>
      <c r="DA96" s="26">
        <v>6.329848379965453</v>
      </c>
      <c r="DB96" s="26">
        <v>6.2013253457317621</v>
      </c>
      <c r="DC96" s="26"/>
      <c r="DD96" s="26">
        <v>5.2492619268133645</v>
      </c>
      <c r="DE96" s="26">
        <v>6.3209002515631276</v>
      </c>
      <c r="DF96" s="26"/>
      <c r="DG96" s="26"/>
      <c r="DH96" s="26">
        <v>6.4868297836002924</v>
      </c>
      <c r="DI96" s="26">
        <v>5.827620282954654</v>
      </c>
      <c r="DJ96" s="26">
        <v>7.0663143302767422</v>
      </c>
      <c r="DK96" s="26">
        <v>5.9628619384453367</v>
      </c>
      <c r="DL96" s="26">
        <v>5.5226853762264438</v>
      </c>
      <c r="DM96" s="26">
        <v>9.7019903060697743</v>
      </c>
      <c r="DN96" s="26">
        <v>7.6053639768993335</v>
      </c>
      <c r="DO96" s="26">
        <v>7.5584542426748964</v>
      </c>
      <c r="DP96" s="26">
        <v>6.9427008530083283</v>
      </c>
      <c r="DQ96" s="26">
        <v>6.4055240885023839</v>
      </c>
      <c r="DR96" s="26">
        <v>5.9595789339150782</v>
      </c>
      <c r="DS96" s="26">
        <v>5.8625018670641422</v>
      </c>
      <c r="DT96" s="26"/>
      <c r="DU96" s="26"/>
      <c r="DV96" s="26">
        <v>8.5837852954236631</v>
      </c>
      <c r="DW96" s="26"/>
      <c r="DX96" s="26"/>
      <c r="DY96" s="26">
        <v>8.0736939293288259</v>
      </c>
      <c r="DZ96" s="26">
        <v>8.5723204770723118</v>
      </c>
      <c r="EA96" s="26">
        <v>9.3688715981853772</v>
      </c>
      <c r="EB96" s="26">
        <v>11.808645757253798</v>
      </c>
      <c r="EC96" s="26">
        <v>9.3027335683988124</v>
      </c>
      <c r="ED96" s="26">
        <v>8.8407959437509973</v>
      </c>
      <c r="EE96" s="26">
        <v>9.4797698241348378</v>
      </c>
      <c r="EF96" s="26">
        <v>7.8622566156607085</v>
      </c>
      <c r="EG96" s="26">
        <v>9.6176111415033159</v>
      </c>
      <c r="EH96" s="26"/>
      <c r="EI96" s="26">
        <v>7.4199267899654808</v>
      </c>
      <c r="EJ96" s="26">
        <v>7.9053481326688049</v>
      </c>
      <c r="EK96" s="26"/>
      <c r="EL96" s="26">
        <v>7.3530728474436851</v>
      </c>
      <c r="EM96" s="26">
        <v>1.1555202955932047</v>
      </c>
      <c r="EN96" s="26">
        <v>0.29405252031833923</v>
      </c>
      <c r="EO96" s="26">
        <v>5.7793574481533001E-2</v>
      </c>
      <c r="EP96" s="26">
        <v>5.8607926568864162E-2</v>
      </c>
      <c r="EQ96" s="26">
        <v>6.5183299993406371E-2</v>
      </c>
      <c r="ER96" s="26">
        <v>1.2769502743434393</v>
      </c>
      <c r="ES96" s="26">
        <v>0.19787091918490987</v>
      </c>
      <c r="ET96" s="26">
        <v>0.1630137919920378</v>
      </c>
      <c r="EU96" s="26">
        <v>0.14558529648234381</v>
      </c>
      <c r="EV96" s="26">
        <v>0.10749729488460708</v>
      </c>
      <c r="EW96" s="26">
        <v>1.3379407157425676</v>
      </c>
      <c r="EX96" s="26">
        <v>0.26474634002182834</v>
      </c>
      <c r="EY96" s="26">
        <v>0.50243858348048442</v>
      </c>
      <c r="EZ96" s="26">
        <v>0.56151403316376713</v>
      </c>
      <c r="FA96" s="26">
        <v>1.9405106379346766</v>
      </c>
      <c r="FB96" s="26">
        <v>1.2738682177161889</v>
      </c>
      <c r="FC96" s="26">
        <v>1.0964462722487758</v>
      </c>
      <c r="FD96" s="26">
        <v>1.5381809438390242</v>
      </c>
      <c r="FE96" s="26">
        <v>1.8211743525823252</v>
      </c>
      <c r="FF96" s="26">
        <v>2.3071374456561338</v>
      </c>
      <c r="FG96" s="26">
        <v>1.4525273770005203</v>
      </c>
      <c r="FH96" s="26">
        <v>3.9121815956228492</v>
      </c>
      <c r="FI96" s="26"/>
      <c r="FJ96" s="26">
        <v>2.9572674400869201</v>
      </c>
      <c r="FK96" s="26">
        <v>3.4388645426755833</v>
      </c>
    </row>
    <row r="97" spans="3:167" x14ac:dyDescent="0.2">
      <c r="C97" s="10">
        <f t="shared" si="33"/>
        <v>3524.084561648076</v>
      </c>
      <c r="D97" s="10">
        <f t="shared" si="34"/>
        <v>112453.28501651161</v>
      </c>
      <c r="E97" s="10" cm="1">
        <f t="array" ref="E97">gavg(AF97,EL97)</f>
        <v>17755.810506377875</v>
      </c>
      <c r="F97" s="10" cm="1">
        <f t="array" ref="F97">lnstdev(AF97,EL97)</f>
        <v>0.92354772330973312</v>
      </c>
      <c r="G97" s="10">
        <f t="shared" si="35"/>
        <v>73</v>
      </c>
      <c r="H97" s="10">
        <f t="shared" si="36"/>
        <v>5739.5247199186842</v>
      </c>
      <c r="I97" s="10">
        <f t="shared" si="37"/>
        <v>7970.3576585245792</v>
      </c>
      <c r="J97" s="10"/>
      <c r="K97" s="10"/>
      <c r="L97" s="10">
        <f t="shared" si="38"/>
        <v>4</v>
      </c>
      <c r="M97" s="10">
        <f t="shared" si="39"/>
        <v>3524.084561648076</v>
      </c>
      <c r="N97" s="10">
        <f t="shared" si="40"/>
        <v>28488.355262427711</v>
      </c>
      <c r="O97" s="10">
        <f t="shared" si="41"/>
        <v>10</v>
      </c>
      <c r="P97" s="10">
        <f t="shared" si="42"/>
        <v>4721.7074193452527</v>
      </c>
      <c r="Q97" s="10">
        <f t="shared" si="43"/>
        <v>18977.451324462891</v>
      </c>
      <c r="R97" s="10">
        <f t="shared" si="44"/>
        <v>19</v>
      </c>
      <c r="S97" s="10">
        <f t="shared" si="45"/>
        <v>5271.2312654445032</v>
      </c>
      <c r="T97" s="10">
        <f t="shared" si="46"/>
        <v>65929.506954393888</v>
      </c>
      <c r="U97" s="10">
        <f t="shared" si="47"/>
        <v>27</v>
      </c>
      <c r="V97" s="10">
        <f t="shared" si="24"/>
        <v>17576.085893731368</v>
      </c>
      <c r="W97" s="10">
        <f t="shared" si="25"/>
        <v>112453.28501651161</v>
      </c>
      <c r="X97" s="10">
        <f t="shared" si="26"/>
        <v>13</v>
      </c>
      <c r="Y97" s="10">
        <f t="shared" si="27"/>
        <v>35151.552735713485</v>
      </c>
      <c r="Z97" s="10">
        <f t="shared" si="28"/>
        <v>35151.552735713485</v>
      </c>
      <c r="AA97" s="10">
        <f t="shared" si="29"/>
        <v>1</v>
      </c>
      <c r="AB97" s="10">
        <f t="shared" si="30"/>
        <v>17576.085893731368</v>
      </c>
      <c r="AC97" s="10">
        <f t="shared" si="31"/>
        <v>112453.28501651161</v>
      </c>
      <c r="AD97" s="10">
        <f t="shared" si="32"/>
        <v>12</v>
      </c>
      <c r="AE97" s="5" t="s">
        <v>249</v>
      </c>
      <c r="AF97" s="26"/>
      <c r="AG97" s="26"/>
      <c r="AH97" s="26"/>
      <c r="AI97" s="26"/>
      <c r="AJ97" s="26"/>
      <c r="AK97" s="26"/>
      <c r="AL97" s="26">
        <v>5739.5247199186842</v>
      </c>
      <c r="AM97" s="26">
        <v>6496.5831045448413</v>
      </c>
      <c r="AN97" s="26">
        <v>7180.5339851740528</v>
      </c>
      <c r="AO97" s="26">
        <v>7970.3576585245792</v>
      </c>
      <c r="AP97" s="26">
        <v>3524.084561648076</v>
      </c>
      <c r="AQ97" s="26">
        <v>5018.3429157745204</v>
      </c>
      <c r="AR97" s="26">
        <v>7444.4856278180305</v>
      </c>
      <c r="AS97" s="26">
        <v>9796.5523160729572</v>
      </c>
      <c r="AT97" s="26">
        <v>12188.93422593086</v>
      </c>
      <c r="AU97" s="26"/>
      <c r="AV97" s="26">
        <v>16937.926893855139</v>
      </c>
      <c r="AW97" s="26"/>
      <c r="AX97" s="26"/>
      <c r="AY97" s="26"/>
      <c r="AZ97" s="26"/>
      <c r="BA97" s="26"/>
      <c r="BB97" s="26">
        <v>28488.355262427711</v>
      </c>
      <c r="BC97" s="26"/>
      <c r="BD97" s="26"/>
      <c r="BE97" s="26"/>
      <c r="BF97" s="26"/>
      <c r="BG97" s="26"/>
      <c r="BH97" s="26"/>
      <c r="BI97" s="26">
        <v>4315.5422089456424</v>
      </c>
      <c r="BJ97" s="26">
        <v>6242.1820598220374</v>
      </c>
      <c r="BK97" s="26">
        <v>5052.838841899249</v>
      </c>
      <c r="BL97" s="26"/>
      <c r="BM97" s="26">
        <v>4721.7074193452527</v>
      </c>
      <c r="BN97" s="26">
        <v>9726.6372881437601</v>
      </c>
      <c r="BO97" s="26"/>
      <c r="BP97" s="26">
        <v>5272.0377319737481</v>
      </c>
      <c r="BQ97" s="26">
        <v>6326.0436058044424</v>
      </c>
      <c r="BR97" s="26">
        <v>7378.261340291876</v>
      </c>
      <c r="BS97" s="26">
        <v>8435.2530931171605</v>
      </c>
      <c r="BT97" s="26">
        <v>9486.2737153705784</v>
      </c>
      <c r="BU97" s="26">
        <v>10542.451707940352</v>
      </c>
      <c r="BV97" s="26">
        <v>11597.613284462375</v>
      </c>
      <c r="BW97" s="26">
        <v>13706.039127550626</v>
      </c>
      <c r="BX97" s="26">
        <v>14760.071352908484</v>
      </c>
      <c r="BY97" s="26">
        <v>15814.889104742751</v>
      </c>
      <c r="BZ97" s="26">
        <v>5273.1921798304502</v>
      </c>
      <c r="CA97" s="26">
        <v>10545.059254294947</v>
      </c>
      <c r="CB97" s="26">
        <v>10280.193780597887</v>
      </c>
      <c r="CC97" s="26">
        <v>15558.447335895738</v>
      </c>
      <c r="CD97" s="26">
        <v>16869.430792959109</v>
      </c>
      <c r="CE97" s="26">
        <v>17922.500560158176</v>
      </c>
      <c r="CF97" s="26">
        <v>18977.451324462891</v>
      </c>
      <c r="CG97" s="26"/>
      <c r="CH97" s="26"/>
      <c r="CI97" s="26"/>
      <c r="CJ97" s="26"/>
      <c r="CK97" s="26"/>
      <c r="CL97" s="26"/>
      <c r="CM97" s="26"/>
      <c r="CN97" s="26"/>
      <c r="CO97" s="26"/>
      <c r="CP97" s="26">
        <v>10543.522866148696</v>
      </c>
      <c r="CQ97" s="26">
        <v>13179.997080250789</v>
      </c>
      <c r="CR97" s="26">
        <v>15821.998056612516</v>
      </c>
      <c r="CS97" s="26">
        <v>18448.555155804279</v>
      </c>
      <c r="CT97" s="26">
        <v>21086.837116040679</v>
      </c>
      <c r="CU97" s="26">
        <v>23724.276768533804</v>
      </c>
      <c r="CV97" s="26">
        <v>26354.516807355376</v>
      </c>
      <c r="CW97" s="26">
        <v>28996.417396946956</v>
      </c>
      <c r="CX97" s="26">
        <v>31627.313086861053</v>
      </c>
      <c r="CY97" s="26">
        <v>34271.139847604849</v>
      </c>
      <c r="CZ97" s="26">
        <v>36899.111772838391</v>
      </c>
      <c r="DA97" s="26">
        <v>39541.100200853849</v>
      </c>
      <c r="DB97" s="26">
        <v>42167.456526505317</v>
      </c>
      <c r="DC97" s="26"/>
      <c r="DD97" s="26">
        <v>42166.355409120253</v>
      </c>
      <c r="DE97" s="26">
        <v>7907.3004032436156</v>
      </c>
      <c r="DF97" s="26"/>
      <c r="DG97" s="26"/>
      <c r="DH97" s="26">
        <v>44812.356170855062</v>
      </c>
      <c r="DI97" s="26">
        <v>50089.080082742781</v>
      </c>
      <c r="DJ97" s="26">
        <v>55348.208076075498</v>
      </c>
      <c r="DK97" s="26">
        <v>60637.185448094409</v>
      </c>
      <c r="DL97" s="26">
        <v>65929.506954393888</v>
      </c>
      <c r="DM97" s="26">
        <v>5271.2312654445032</v>
      </c>
      <c r="DN97" s="26">
        <v>7908.2242752376351</v>
      </c>
      <c r="DO97" s="26">
        <v>6328.2910146211316</v>
      </c>
      <c r="DP97" s="26">
        <v>9490.3166356839611</v>
      </c>
      <c r="DQ97" s="26">
        <v>7380.2353520142387</v>
      </c>
      <c r="DR97" s="26">
        <v>39536.231442501667</v>
      </c>
      <c r="DS97" s="26">
        <v>47447.421048816876</v>
      </c>
      <c r="DT97" s="26"/>
      <c r="DU97" s="26"/>
      <c r="DV97" s="26">
        <v>35151.552735713485</v>
      </c>
      <c r="DW97" s="26"/>
      <c r="DX97" s="26"/>
      <c r="DY97" s="26">
        <v>17576.085893731368</v>
      </c>
      <c r="DZ97" s="26">
        <v>35144.295608788205</v>
      </c>
      <c r="EA97" s="26">
        <v>42171.520099305264</v>
      </c>
      <c r="EB97" s="26">
        <v>49210.205412747564</v>
      </c>
      <c r="EC97" s="26">
        <v>56240.884881270562</v>
      </c>
      <c r="ED97" s="26">
        <v>63257.192310534017</v>
      </c>
      <c r="EE97" s="26">
        <v>70306.627373946336</v>
      </c>
      <c r="EF97" s="26">
        <v>77327.402014481384</v>
      </c>
      <c r="EG97" s="26">
        <v>77340.109306469283</v>
      </c>
      <c r="EH97" s="26"/>
      <c r="EI97" s="26">
        <v>105452.14435510467</v>
      </c>
      <c r="EJ97" s="26">
        <v>112453.28501651161</v>
      </c>
      <c r="EK97" s="26"/>
      <c r="EL97" s="26">
        <v>84342.471340246368</v>
      </c>
      <c r="EM97" s="26">
        <v>17577.110675343298</v>
      </c>
      <c r="EN97" s="26">
        <v>35144.467102853872</v>
      </c>
      <c r="EO97" s="26">
        <v>70291.736669707709</v>
      </c>
      <c r="EP97" s="26">
        <v>87866.289573803268</v>
      </c>
      <c r="EQ97" s="26">
        <v>105429.62425633479</v>
      </c>
      <c r="ER97" s="26">
        <v>17576.269936143304</v>
      </c>
      <c r="ES97" s="26">
        <v>35148.114488835919</v>
      </c>
      <c r="ET97" s="26">
        <v>70293.88661970172</v>
      </c>
      <c r="EU97" s="26">
        <v>87860.718108060071</v>
      </c>
      <c r="EV97" s="26">
        <v>105445.0001632958</v>
      </c>
      <c r="EW97" s="26">
        <v>17577.943048979105</v>
      </c>
      <c r="EX97" s="26">
        <v>35148.315262376214</v>
      </c>
      <c r="EY97" s="26">
        <v>70294.56423040021</v>
      </c>
      <c r="EZ97" s="26">
        <v>87857.54755923622</v>
      </c>
      <c r="FA97" s="26">
        <v>105434.30897227504</v>
      </c>
      <c r="FB97" s="26">
        <v>17573.607595343339</v>
      </c>
      <c r="FC97" s="26">
        <v>35149.954912955298</v>
      </c>
      <c r="FD97" s="26">
        <v>70291.527530603242</v>
      </c>
      <c r="FE97" s="26">
        <v>87871.057945385313</v>
      </c>
      <c r="FF97" s="26">
        <v>105451.71771133154</v>
      </c>
      <c r="FG97" s="26">
        <v>17575.345541301525</v>
      </c>
      <c r="FH97" s="26">
        <v>35151.32686548066</v>
      </c>
      <c r="FI97" s="26"/>
      <c r="FJ97" s="26">
        <v>87872.563746937522</v>
      </c>
      <c r="FK97" s="26">
        <v>105468.32335622687</v>
      </c>
    </row>
    <row r="98" spans="3:167" x14ac:dyDescent="0.2">
      <c r="C98" s="10">
        <f t="shared" si="33"/>
        <v>0.56635067051125687</v>
      </c>
      <c r="D98" s="10">
        <f t="shared" si="34"/>
        <v>18.091723115636935</v>
      </c>
      <c r="E98" s="10" cm="1">
        <f t="array" ref="E98">gavg(AF98,EL98)</f>
        <v>1.4557311797103032</v>
      </c>
      <c r="F98" s="10" cm="1">
        <f t="array" ref="F98">lnstdev(AF98,EL98)</f>
        <v>0.4394700380632342</v>
      </c>
      <c r="G98" s="10">
        <f t="shared" si="35"/>
        <v>69</v>
      </c>
      <c r="H98" s="10">
        <f t="shared" si="36"/>
        <v>1.2985719350937881</v>
      </c>
      <c r="I98" s="10">
        <f t="shared" si="37"/>
        <v>1.7083555060939886</v>
      </c>
      <c r="J98" s="10"/>
      <c r="K98" s="10"/>
      <c r="L98" s="10">
        <f t="shared" si="38"/>
        <v>4</v>
      </c>
      <c r="M98" s="10">
        <f t="shared" si="39"/>
        <v>0.91108852235585536</v>
      </c>
      <c r="N98" s="10">
        <f t="shared" si="40"/>
        <v>18.091723115636935</v>
      </c>
      <c r="O98" s="10">
        <f t="shared" si="41"/>
        <v>6</v>
      </c>
      <c r="P98" s="10">
        <f t="shared" si="42"/>
        <v>0.80844108166908912</v>
      </c>
      <c r="Q98" s="10">
        <f t="shared" si="43"/>
        <v>1.5559392229897959</v>
      </c>
      <c r="R98" s="10">
        <f t="shared" si="44"/>
        <v>19</v>
      </c>
      <c r="S98" s="10">
        <f t="shared" si="45"/>
        <v>0.56635067051125687</v>
      </c>
      <c r="T98" s="10">
        <f t="shared" si="46"/>
        <v>1.4550283889555418</v>
      </c>
      <c r="U98" s="10">
        <f t="shared" si="47"/>
        <v>27</v>
      </c>
      <c r="V98" s="10">
        <f t="shared" si="24"/>
        <v>1.4293414820412804</v>
      </c>
      <c r="W98" s="10">
        <f t="shared" si="25"/>
        <v>2.8970439601952824</v>
      </c>
      <c r="X98" s="10">
        <f t="shared" si="26"/>
        <v>13</v>
      </c>
      <c r="Y98" s="10">
        <f t="shared" si="27"/>
        <v>2.7122544554363386</v>
      </c>
      <c r="Z98" s="10">
        <f t="shared" si="28"/>
        <v>2.7122544554363386</v>
      </c>
      <c r="AA98" s="10">
        <f t="shared" si="29"/>
        <v>1</v>
      </c>
      <c r="AB98" s="10">
        <f t="shared" si="30"/>
        <v>1.4293414820412804</v>
      </c>
      <c r="AC98" s="10">
        <f t="shared" si="31"/>
        <v>2.8970439601952824</v>
      </c>
      <c r="AD98" s="10">
        <f t="shared" si="32"/>
        <v>12</v>
      </c>
      <c r="AE98" s="5" t="s">
        <v>256</v>
      </c>
      <c r="AF98" s="26"/>
      <c r="AG98" s="26"/>
      <c r="AH98" s="26"/>
      <c r="AI98" s="26"/>
      <c r="AJ98" s="26"/>
      <c r="AK98" s="26"/>
      <c r="AL98" s="26">
        <v>1.2985719350937881</v>
      </c>
      <c r="AM98" s="26">
        <v>1.6722298246376108</v>
      </c>
      <c r="AN98" s="26">
        <v>1.7083555060939886</v>
      </c>
      <c r="AO98" s="26">
        <v>1.6761170486622958</v>
      </c>
      <c r="AP98" s="26">
        <v>18.091723115636935</v>
      </c>
      <c r="AQ98" s="26">
        <v>5.3889016440711481</v>
      </c>
      <c r="AR98" s="26">
        <v>1.3190669639479351</v>
      </c>
      <c r="AS98" s="26"/>
      <c r="AT98" s="26">
        <v>0.91108852235585536</v>
      </c>
      <c r="AU98" s="26"/>
      <c r="AV98" s="26">
        <v>3.1043211233859296</v>
      </c>
      <c r="AW98" s="26"/>
      <c r="AX98" s="26"/>
      <c r="AY98" s="26"/>
      <c r="AZ98" s="26"/>
      <c r="BA98" s="26"/>
      <c r="BB98" s="26">
        <v>2.243363998249607</v>
      </c>
      <c r="BC98" s="26"/>
      <c r="BD98" s="26"/>
      <c r="BE98" s="26"/>
      <c r="BF98" s="26"/>
      <c r="BG98" s="26"/>
      <c r="BH98" s="26"/>
      <c r="BI98" s="26"/>
      <c r="BJ98" s="26"/>
      <c r="BK98" s="26"/>
      <c r="BL98" s="26"/>
      <c r="BM98" s="26">
        <v>1.4721629036585979</v>
      </c>
      <c r="BN98" s="26">
        <v>1.5480362378423449</v>
      </c>
      <c r="BO98" s="26"/>
      <c r="BP98" s="26">
        <v>0.90249786638612739</v>
      </c>
      <c r="BQ98" s="26">
        <v>1.2548781736191221</v>
      </c>
      <c r="BR98" s="26">
        <v>0.88567015677770256</v>
      </c>
      <c r="BS98" s="26">
        <v>1.2580534997085591</v>
      </c>
      <c r="BT98" s="26">
        <v>1.4086537181972587</v>
      </c>
      <c r="BU98" s="26">
        <v>1.4424425452284735</v>
      </c>
      <c r="BV98" s="26">
        <v>1.3515522841626286</v>
      </c>
      <c r="BW98" s="26">
        <v>1.4026992736307624</v>
      </c>
      <c r="BX98" s="26">
        <v>1.4314585251551992</v>
      </c>
      <c r="BY98" s="26">
        <v>1.5559392229897959</v>
      </c>
      <c r="BZ98" s="26">
        <v>0.80844108166908912</v>
      </c>
      <c r="CA98" s="26">
        <v>1.5213746682993858</v>
      </c>
      <c r="CB98" s="26">
        <v>1.3043454972624913</v>
      </c>
      <c r="CC98" s="26">
        <v>1.4596760816366705</v>
      </c>
      <c r="CD98" s="26">
        <v>1.5139109842500296</v>
      </c>
      <c r="CE98" s="26">
        <v>1.4617678270470824</v>
      </c>
      <c r="CF98" s="26">
        <v>1.4090881379908915</v>
      </c>
      <c r="CG98" s="26"/>
      <c r="CH98" s="26"/>
      <c r="CI98" s="26"/>
      <c r="CJ98" s="26"/>
      <c r="CK98" s="26"/>
      <c r="CL98" s="26"/>
      <c r="CM98" s="26"/>
      <c r="CN98" s="26"/>
      <c r="CO98" s="26"/>
      <c r="CP98" s="26">
        <v>1.081863734067221</v>
      </c>
      <c r="CQ98" s="26">
        <v>1.2572387167226124</v>
      </c>
      <c r="CR98" s="26">
        <v>1.1360986568109415</v>
      </c>
      <c r="CS98" s="26">
        <v>1.3576209011410898</v>
      </c>
      <c r="CT98" s="26">
        <v>1.3225994715143725</v>
      </c>
      <c r="CU98" s="26">
        <v>1.2009048017560393</v>
      </c>
      <c r="CV98" s="26">
        <v>1.2024251707669846</v>
      </c>
      <c r="CW98" s="26">
        <v>1.3505111224685185</v>
      </c>
      <c r="CX98" s="26">
        <v>1.3765003052903368</v>
      </c>
      <c r="CY98" s="26">
        <v>1.2395390671423394</v>
      </c>
      <c r="CZ98" s="26">
        <v>1.2981556887471948</v>
      </c>
      <c r="DA98" s="26">
        <v>1.257810785010453</v>
      </c>
      <c r="DB98" s="26">
        <v>1.3253348418551525</v>
      </c>
      <c r="DC98" s="26"/>
      <c r="DD98" s="26">
        <v>1.2049427167060178</v>
      </c>
      <c r="DE98" s="26">
        <v>0.88228711865381537</v>
      </c>
      <c r="DF98" s="26"/>
      <c r="DG98" s="26"/>
      <c r="DH98" s="26">
        <v>1.2790394256436814</v>
      </c>
      <c r="DI98" s="26">
        <v>1.2477567704151353</v>
      </c>
      <c r="DJ98" s="26">
        <v>1.2240896661497742</v>
      </c>
      <c r="DK98" s="26">
        <v>1.2047859430194348</v>
      </c>
      <c r="DL98" s="26">
        <v>1.2118508996619266</v>
      </c>
      <c r="DM98" s="26">
        <v>0.94504193803600101</v>
      </c>
      <c r="DN98" s="26">
        <v>0.56635067051125687</v>
      </c>
      <c r="DO98" s="26">
        <v>1.4550283889555418</v>
      </c>
      <c r="DP98" s="26">
        <v>1.3062872878321061</v>
      </c>
      <c r="DQ98" s="26">
        <v>1.0700186763843609</v>
      </c>
      <c r="DR98" s="26">
        <v>1.2758116764282488</v>
      </c>
      <c r="DS98" s="26">
        <v>1.2506521195934672</v>
      </c>
      <c r="DT98" s="26"/>
      <c r="DU98" s="26"/>
      <c r="DV98" s="26">
        <v>2.7122544554363386</v>
      </c>
      <c r="DW98" s="26"/>
      <c r="DX98" s="26"/>
      <c r="DY98" s="26">
        <v>2.8970439601952824</v>
      </c>
      <c r="DZ98" s="26">
        <v>1.9393886378103995</v>
      </c>
      <c r="EA98" s="26">
        <v>1.6651195070475147</v>
      </c>
      <c r="EB98" s="26">
        <v>1.8599393585114403</v>
      </c>
      <c r="EC98" s="26">
        <v>1.6491517350810048</v>
      </c>
      <c r="ED98" s="26">
        <v>1.652071280773018</v>
      </c>
      <c r="EE98" s="26">
        <v>1.7537014834084816</v>
      </c>
      <c r="EF98" s="26">
        <v>1.4977824916681817</v>
      </c>
      <c r="EG98" s="26">
        <v>1.6834808618964032</v>
      </c>
      <c r="EH98" s="26"/>
      <c r="EI98" s="26">
        <v>1.44927158381323</v>
      </c>
      <c r="EJ98" s="26">
        <v>1.5791262582892627</v>
      </c>
      <c r="EK98" s="26"/>
      <c r="EL98" s="26">
        <v>1.4293414820412804</v>
      </c>
      <c r="EM98" s="26">
        <v>1.5657053637533265</v>
      </c>
      <c r="EN98" s="26">
        <v>1.4771984715296755</v>
      </c>
      <c r="EO98" s="26">
        <v>1.2378895635936644</v>
      </c>
      <c r="EP98" s="26">
        <v>1.1949180105869128</v>
      </c>
      <c r="EQ98" s="26">
        <v>1.1857506077496949</v>
      </c>
      <c r="ER98" s="26">
        <v>0.64858851848127375</v>
      </c>
      <c r="ES98" s="26">
        <v>1.429832198199962</v>
      </c>
      <c r="ET98" s="26">
        <v>1.2298888958206164</v>
      </c>
      <c r="EU98" s="26">
        <v>1.1917317552096232</v>
      </c>
      <c r="EV98" s="26">
        <v>1.1743043311689954</v>
      </c>
      <c r="EW98" s="26">
        <v>0.68365424555912213</v>
      </c>
      <c r="EX98" s="26">
        <v>1.4770165283685088</v>
      </c>
      <c r="EY98" s="26">
        <v>1.4342641500459756</v>
      </c>
      <c r="EZ98" s="26">
        <v>1.407819571323087</v>
      </c>
      <c r="FA98" s="26">
        <v>1.7670982509788018</v>
      </c>
      <c r="FB98" s="26">
        <v>0.21890342688970085</v>
      </c>
      <c r="FC98" s="26">
        <v>1.9760140070219807</v>
      </c>
      <c r="FD98" s="26">
        <v>1.5948959553606006</v>
      </c>
      <c r="FE98" s="26">
        <v>1.6560179991340793</v>
      </c>
      <c r="FF98" s="26">
        <v>1.7339403181914659</v>
      </c>
      <c r="FG98" s="26">
        <v>1.5803022118081282</v>
      </c>
      <c r="FH98" s="26">
        <v>2.4246321360949654</v>
      </c>
      <c r="FI98" s="26"/>
      <c r="FJ98" s="26">
        <v>1.6415149915461049</v>
      </c>
      <c r="FK98" s="26">
        <v>1.4765073576219887</v>
      </c>
    </row>
    <row r="99" spans="3:167" x14ac:dyDescent="0.2">
      <c r="C99" s="10">
        <f t="shared" si="33"/>
        <v>8.6493645473778873</v>
      </c>
      <c r="D99" s="10">
        <f t="shared" si="34"/>
        <v>90</v>
      </c>
      <c r="E99" s="10" cm="1">
        <f t="array" ref="E99">gavg(AF99,EL99)</f>
        <v>64.63321259623639</v>
      </c>
      <c r="F99" s="10" cm="1">
        <f t="array" ref="F99">lnstdev(AF99,EL99)</f>
        <v>0.54704394979233462</v>
      </c>
      <c r="G99" s="10">
        <f t="shared" si="35"/>
        <v>69</v>
      </c>
      <c r="H99" s="10">
        <f t="shared" si="36"/>
        <v>15.552279991221374</v>
      </c>
      <c r="I99" s="10">
        <f t="shared" si="37"/>
        <v>34.711685593277487</v>
      </c>
      <c r="J99" s="10"/>
      <c r="K99" s="10"/>
      <c r="L99" s="10">
        <f t="shared" si="38"/>
        <v>4</v>
      </c>
      <c r="M99" s="10">
        <f t="shared" si="39"/>
        <v>90</v>
      </c>
      <c r="N99" s="10">
        <f t="shared" si="40"/>
        <v>90</v>
      </c>
      <c r="O99" s="10">
        <f t="shared" si="41"/>
        <v>6</v>
      </c>
      <c r="P99" s="10">
        <f t="shared" si="42"/>
        <v>55.934938508249431</v>
      </c>
      <c r="Q99" s="10">
        <f t="shared" si="43"/>
        <v>88.284363903287655</v>
      </c>
      <c r="R99" s="10">
        <f t="shared" si="44"/>
        <v>19</v>
      </c>
      <c r="S99" s="10">
        <f t="shared" si="45"/>
        <v>8.6493645473778873</v>
      </c>
      <c r="T99" s="10">
        <f t="shared" si="46"/>
        <v>88.123038519384906</v>
      </c>
      <c r="U99" s="10">
        <f t="shared" si="47"/>
        <v>27</v>
      </c>
      <c r="V99" s="10">
        <f t="shared" si="24"/>
        <v>47.397305839882812</v>
      </c>
      <c r="W99" s="10">
        <f t="shared" si="25"/>
        <v>87.63990133277845</v>
      </c>
      <c r="X99" s="10">
        <f t="shared" si="26"/>
        <v>13</v>
      </c>
      <c r="Y99" s="10">
        <f t="shared" si="27"/>
        <v>76.202294229334612</v>
      </c>
      <c r="Z99" s="10">
        <f t="shared" si="28"/>
        <v>76.202294229334612</v>
      </c>
      <c r="AA99" s="10">
        <f t="shared" si="29"/>
        <v>1</v>
      </c>
      <c r="AB99" s="10">
        <f t="shared" si="30"/>
        <v>47.397305839882812</v>
      </c>
      <c r="AC99" s="10">
        <f t="shared" si="31"/>
        <v>87.63990133277845</v>
      </c>
      <c r="AD99" s="10">
        <f t="shared" si="32"/>
        <v>12</v>
      </c>
      <c r="AE99" s="5" t="s">
        <v>259</v>
      </c>
      <c r="AF99" s="26"/>
      <c r="AG99" s="26"/>
      <c r="AH99" s="26"/>
      <c r="AI99" s="26"/>
      <c r="AJ99" s="26"/>
      <c r="AK99" s="26"/>
      <c r="AL99" s="26">
        <v>15.552279991221374</v>
      </c>
      <c r="AM99" s="26">
        <v>24.663136603214756</v>
      </c>
      <c r="AN99" s="26">
        <v>29.815214976028731</v>
      </c>
      <c r="AO99" s="26">
        <v>34.711685593277487</v>
      </c>
      <c r="AP99" s="26">
        <v>90</v>
      </c>
      <c r="AQ99" s="26">
        <v>90</v>
      </c>
      <c r="AR99" s="26">
        <v>90</v>
      </c>
      <c r="AS99" s="26"/>
      <c r="AT99" s="26">
        <v>90</v>
      </c>
      <c r="AU99" s="26"/>
      <c r="AV99" s="26">
        <v>90</v>
      </c>
      <c r="AW99" s="26"/>
      <c r="AX99" s="26"/>
      <c r="AY99" s="26"/>
      <c r="AZ99" s="26"/>
      <c r="BA99" s="26"/>
      <c r="BB99" s="26">
        <v>90</v>
      </c>
      <c r="BC99" s="26"/>
      <c r="BD99" s="26"/>
      <c r="BE99" s="26"/>
      <c r="BF99" s="26"/>
      <c r="BG99" s="26"/>
      <c r="BH99" s="26"/>
      <c r="BI99" s="26"/>
      <c r="BJ99" s="26"/>
      <c r="BK99" s="26"/>
      <c r="BL99" s="26"/>
      <c r="BM99" s="26">
        <v>65.150264884378757</v>
      </c>
      <c r="BN99" s="26">
        <v>84.074701260276839</v>
      </c>
      <c r="BO99" s="26"/>
      <c r="BP99" s="26">
        <v>58.78586358217715</v>
      </c>
      <c r="BQ99" s="26">
        <v>73.160108550867719</v>
      </c>
      <c r="BR99" s="26">
        <v>72.50212179544269</v>
      </c>
      <c r="BS99" s="26">
        <v>80.362803453156289</v>
      </c>
      <c r="BT99" s="26">
        <v>83.162382622085332</v>
      </c>
      <c r="BU99" s="26">
        <v>84.583847738693592</v>
      </c>
      <c r="BV99" s="26">
        <v>85.220419223971192</v>
      </c>
      <c r="BW99" s="26">
        <v>86.6985903538</v>
      </c>
      <c r="BX99" s="26">
        <v>87.209579252902898</v>
      </c>
      <c r="BY99" s="26">
        <v>87.763219888886226</v>
      </c>
      <c r="BZ99" s="26">
        <v>55.934938508249431</v>
      </c>
      <c r="CA99" s="26">
        <v>84.86583156020896</v>
      </c>
      <c r="CB99" s="26">
        <v>83.707507896310275</v>
      </c>
      <c r="CC99" s="26">
        <v>87.536728720768849</v>
      </c>
      <c r="CD99" s="26">
        <v>87.979366115312615</v>
      </c>
      <c r="CE99" s="26">
        <v>88.145863558745063</v>
      </c>
      <c r="CF99" s="26">
        <v>88.284363903287655</v>
      </c>
      <c r="CG99" s="26"/>
      <c r="CH99" s="26"/>
      <c r="CI99" s="26"/>
      <c r="CJ99" s="26"/>
      <c r="CK99" s="26"/>
      <c r="CL99" s="26"/>
      <c r="CM99" s="26"/>
      <c r="CN99" s="26"/>
      <c r="CO99" s="26"/>
      <c r="CP99" s="26">
        <v>34.865005417648838</v>
      </c>
      <c r="CQ99" s="26">
        <v>51.677049127993918</v>
      </c>
      <c r="CR99" s="26">
        <v>58.744029529141748</v>
      </c>
      <c r="CS99" s="26">
        <v>69.514879820300692</v>
      </c>
      <c r="CT99" s="26">
        <v>73.641694521683974</v>
      </c>
      <c r="CU99" s="26">
        <v>75.673515392044436</v>
      </c>
      <c r="CV99" s="26">
        <v>78.321736101042148</v>
      </c>
      <c r="CW99" s="26">
        <v>81.355893326841695</v>
      </c>
      <c r="CX99" s="26">
        <v>82.854071662903451</v>
      </c>
      <c r="CY99" s="26">
        <v>83.237935558310568</v>
      </c>
      <c r="CZ99" s="26">
        <v>84.421905836437887</v>
      </c>
      <c r="DA99" s="26">
        <v>84.983566112333264</v>
      </c>
      <c r="DB99" s="26">
        <v>85.810480683321586</v>
      </c>
      <c r="DC99" s="26"/>
      <c r="DD99" s="26">
        <v>85.393364497272643</v>
      </c>
      <c r="DE99" s="26">
        <v>17.722451909789172</v>
      </c>
      <c r="DF99" s="26"/>
      <c r="DG99" s="26"/>
      <c r="DH99" s="26">
        <v>86.155078236590882</v>
      </c>
      <c r="DI99" s="26">
        <v>86.843804047412846</v>
      </c>
      <c r="DJ99" s="26">
        <v>87.364319593750992</v>
      </c>
      <c r="DK99" s="26">
        <v>87.76842258785237</v>
      </c>
      <c r="DL99" s="26">
        <v>88.123038519384906</v>
      </c>
      <c r="DM99" s="26">
        <v>8.6493645473778873</v>
      </c>
      <c r="DN99" s="26">
        <v>11.595318783912596</v>
      </c>
      <c r="DO99" s="26">
        <v>18.652481207512476</v>
      </c>
      <c r="DP99" s="26">
        <v>34.276718732814928</v>
      </c>
      <c r="DQ99" s="26">
        <v>18.655976732374047</v>
      </c>
      <c r="DR99" s="26">
        <v>85.052779014626282</v>
      </c>
      <c r="DS99" s="26">
        <v>86.491555836167876</v>
      </c>
      <c r="DT99" s="26"/>
      <c r="DU99" s="26"/>
      <c r="DV99" s="26">
        <v>76.202294229334612</v>
      </c>
      <c r="DW99" s="26"/>
      <c r="DX99" s="26"/>
      <c r="DY99" s="26">
        <v>47.397305839882812</v>
      </c>
      <c r="DZ99" s="26">
        <v>71.03781740122426</v>
      </c>
      <c r="EA99" s="26">
        <v>74.467960751644313</v>
      </c>
      <c r="EB99" s="26">
        <v>79.644697268320797</v>
      </c>
      <c r="EC99" s="26">
        <v>81.03383742692796</v>
      </c>
      <c r="ED99" s="26">
        <v>82.903250040996681</v>
      </c>
      <c r="EE99" s="26">
        <v>84.576383809409549</v>
      </c>
      <c r="EF99" s="26">
        <v>84.749467356164828</v>
      </c>
      <c r="EG99" s="26">
        <v>85.327438691672995</v>
      </c>
      <c r="EH99" s="26"/>
      <c r="EI99" s="26">
        <v>87.076525533900551</v>
      </c>
      <c r="EJ99" s="26">
        <v>87.63990133277845</v>
      </c>
      <c r="EK99" s="26"/>
      <c r="EL99" s="26">
        <v>85.372327893141644</v>
      </c>
      <c r="EM99" s="26">
        <v>30.444766418486303</v>
      </c>
      <c r="EN99" s="26">
        <v>65.720418181771564</v>
      </c>
      <c r="EO99" s="26">
        <v>82.336173535553954</v>
      </c>
      <c r="EP99" s="26">
        <v>84.901926294441211</v>
      </c>
      <c r="EQ99" s="26">
        <v>86.426820579060532</v>
      </c>
      <c r="ER99" s="26">
        <v>13.682445771549723</v>
      </c>
      <c r="ES99" s="26">
        <v>65.017544279194723</v>
      </c>
      <c r="ET99" s="26">
        <v>82.287383207198133</v>
      </c>
      <c r="EU99" s="26">
        <v>84.88772315470537</v>
      </c>
      <c r="EV99" s="26">
        <v>86.393132694922471</v>
      </c>
      <c r="EW99" s="26">
        <v>14.394821252056047</v>
      </c>
      <c r="EX99" s="26">
        <v>65.722475556036954</v>
      </c>
      <c r="EY99" s="26">
        <v>83.375952776179275</v>
      </c>
      <c r="EZ99" s="26">
        <v>85.668846751542915</v>
      </c>
      <c r="FA99" s="26">
        <v>87.600843958031263</v>
      </c>
      <c r="FB99" s="26">
        <v>4.6957907483645451</v>
      </c>
      <c r="FC99" s="26">
        <v>71.370396082309298</v>
      </c>
      <c r="FD99" s="26">
        <v>84.037518988455403</v>
      </c>
      <c r="FE99" s="26">
        <v>86.317170754259578</v>
      </c>
      <c r="FF99" s="26">
        <v>87.555826563751324</v>
      </c>
      <c r="FG99" s="26">
        <v>30.672501880644575</v>
      </c>
      <c r="FH99" s="26">
        <v>74.638839255796327</v>
      </c>
      <c r="FI99" s="26"/>
      <c r="FJ99" s="26">
        <v>86.284850167761817</v>
      </c>
      <c r="FK99" s="26">
        <v>87.131240073546678</v>
      </c>
    </row>
    <row r="100" spans="3:167" x14ac:dyDescent="0.2">
      <c r="C100" s="10">
        <f t="shared" si="33"/>
        <v>0.30233514431611691</v>
      </c>
      <c r="D100" s="10">
        <f t="shared" si="34"/>
        <v>0.97820777905612066</v>
      </c>
      <c r="E100" s="10" cm="1">
        <f t="array" ref="E100">gavg(AF100,EL100)</f>
        <v>0.62588022982224878</v>
      </c>
      <c r="F100" s="10" cm="1">
        <f t="array" ref="F100">lnstdev(AF100,EL100)</f>
        <v>0.38739373877105915</v>
      </c>
      <c r="G100" s="10">
        <f t="shared" si="35"/>
        <v>73</v>
      </c>
      <c r="H100" s="10">
        <f t="shared" si="36"/>
        <v>0.52201304070023125</v>
      </c>
      <c r="I100" s="10">
        <f t="shared" si="37"/>
        <v>0.52201304070023125</v>
      </c>
      <c r="J100" s="10"/>
      <c r="K100" s="10"/>
      <c r="L100" s="10">
        <f t="shared" si="38"/>
        <v>4</v>
      </c>
      <c r="M100" s="10">
        <f t="shared" si="39"/>
        <v>0.97820777905612066</v>
      </c>
      <c r="N100" s="10">
        <f t="shared" si="40"/>
        <v>0.97820777905612066</v>
      </c>
      <c r="O100" s="10">
        <f t="shared" si="41"/>
        <v>10</v>
      </c>
      <c r="P100" s="10">
        <f t="shared" si="42"/>
        <v>0.59013831127259031</v>
      </c>
      <c r="Q100" s="10">
        <f t="shared" si="43"/>
        <v>0.59013831127259031</v>
      </c>
      <c r="R100" s="10">
        <f t="shared" si="44"/>
        <v>19</v>
      </c>
      <c r="S100" s="10">
        <f t="shared" si="45"/>
        <v>0.80622705150964513</v>
      </c>
      <c r="T100" s="10">
        <f t="shared" si="46"/>
        <v>0.80622705150964513</v>
      </c>
      <c r="U100" s="10">
        <f t="shared" si="47"/>
        <v>27</v>
      </c>
      <c r="V100" s="10">
        <f t="shared" si="24"/>
        <v>0.30233514431611691</v>
      </c>
      <c r="W100" s="10">
        <f t="shared" si="25"/>
        <v>0.30233514431611691</v>
      </c>
      <c r="X100" s="10">
        <f t="shared" si="26"/>
        <v>13</v>
      </c>
      <c r="Y100" s="10">
        <f t="shared" si="27"/>
        <v>0.30233514431611691</v>
      </c>
      <c r="Z100" s="10">
        <f t="shared" si="28"/>
        <v>0.30233514431611691</v>
      </c>
      <c r="AA100" s="10">
        <f t="shared" si="29"/>
        <v>1</v>
      </c>
      <c r="AB100" s="10">
        <f t="shared" si="30"/>
        <v>0.30233514431611691</v>
      </c>
      <c r="AC100" s="10">
        <f t="shared" si="31"/>
        <v>0.30233514431611691</v>
      </c>
      <c r="AD100" s="10">
        <f t="shared" si="32"/>
        <v>12</v>
      </c>
      <c r="AE100" s="5" t="s">
        <v>257</v>
      </c>
      <c r="AF100" s="26"/>
      <c r="AG100" s="26"/>
      <c r="AH100" s="26"/>
      <c r="AI100" s="26"/>
      <c r="AJ100" s="26"/>
      <c r="AK100" s="26"/>
      <c r="AL100" s="26">
        <v>0.52201304070023125</v>
      </c>
      <c r="AM100" s="26">
        <v>0.52201304070023125</v>
      </c>
      <c r="AN100" s="26">
        <v>0.52201304070023125</v>
      </c>
      <c r="AO100" s="26">
        <v>0.52201304070023125</v>
      </c>
      <c r="AP100" s="26">
        <v>0.97820777905612066</v>
      </c>
      <c r="AQ100" s="26">
        <v>0.97820777905612066</v>
      </c>
      <c r="AR100" s="26">
        <v>0.97820777905612066</v>
      </c>
      <c r="AS100" s="26">
        <v>0.97820777905612066</v>
      </c>
      <c r="AT100" s="26">
        <v>0.97820777905612066</v>
      </c>
      <c r="AU100" s="26"/>
      <c r="AV100" s="26">
        <v>0.97820777905612066</v>
      </c>
      <c r="AW100" s="26"/>
      <c r="AX100" s="26"/>
      <c r="AY100" s="26"/>
      <c r="AZ100" s="26"/>
      <c r="BA100" s="26"/>
      <c r="BB100" s="26">
        <v>0.97820777905612066</v>
      </c>
      <c r="BC100" s="26"/>
      <c r="BD100" s="26"/>
      <c r="BE100" s="26"/>
      <c r="BF100" s="26"/>
      <c r="BG100" s="26"/>
      <c r="BH100" s="26"/>
      <c r="BI100" s="26">
        <v>0.97820777905612066</v>
      </c>
      <c r="BJ100" s="26">
        <v>0.97820777905612066</v>
      </c>
      <c r="BK100" s="26">
        <v>0.97820777905612066</v>
      </c>
      <c r="BL100" s="26"/>
      <c r="BM100" s="26">
        <v>0.59013831127259031</v>
      </c>
      <c r="BN100" s="26">
        <v>0.59013831127259031</v>
      </c>
      <c r="BO100" s="26"/>
      <c r="BP100" s="26">
        <v>0.59013831127259031</v>
      </c>
      <c r="BQ100" s="26">
        <v>0.59013831127259031</v>
      </c>
      <c r="BR100" s="26">
        <v>0.59013831127259031</v>
      </c>
      <c r="BS100" s="26">
        <v>0.59013831127259031</v>
      </c>
      <c r="BT100" s="26">
        <v>0.59013831127259031</v>
      </c>
      <c r="BU100" s="26">
        <v>0.59013831127259031</v>
      </c>
      <c r="BV100" s="26">
        <v>0.59013831127259031</v>
      </c>
      <c r="BW100" s="26">
        <v>0.59013831127259031</v>
      </c>
      <c r="BX100" s="26">
        <v>0.59013831127259031</v>
      </c>
      <c r="BY100" s="26">
        <v>0.59013831127259031</v>
      </c>
      <c r="BZ100" s="26">
        <v>0.59013831127259031</v>
      </c>
      <c r="CA100" s="26">
        <v>0.59013831127259031</v>
      </c>
      <c r="CB100" s="26">
        <v>0.59013831127259031</v>
      </c>
      <c r="CC100" s="26">
        <v>0.59013831127259031</v>
      </c>
      <c r="CD100" s="26">
        <v>0.59013831127259031</v>
      </c>
      <c r="CE100" s="26">
        <v>0.59013831127259031</v>
      </c>
      <c r="CF100" s="26">
        <v>0.59013831127259031</v>
      </c>
      <c r="CG100" s="26"/>
      <c r="CH100" s="26"/>
      <c r="CI100" s="26"/>
      <c r="CJ100" s="26"/>
      <c r="CK100" s="26"/>
      <c r="CL100" s="26"/>
      <c r="CM100" s="26"/>
      <c r="CN100" s="26"/>
      <c r="CO100" s="26"/>
      <c r="CP100" s="26">
        <v>0.80622705150964513</v>
      </c>
      <c r="CQ100" s="26">
        <v>0.80622705150964513</v>
      </c>
      <c r="CR100" s="26">
        <v>0.80622705150964513</v>
      </c>
      <c r="CS100" s="26">
        <v>0.80622705150964513</v>
      </c>
      <c r="CT100" s="26">
        <v>0.80622705150964513</v>
      </c>
      <c r="CU100" s="26">
        <v>0.80622705150964513</v>
      </c>
      <c r="CV100" s="26">
        <v>0.80622705150964513</v>
      </c>
      <c r="CW100" s="26">
        <v>0.80622705150964513</v>
      </c>
      <c r="CX100" s="26">
        <v>0.80622705150964513</v>
      </c>
      <c r="CY100" s="26">
        <v>0.80622705150964513</v>
      </c>
      <c r="CZ100" s="26">
        <v>0.80622705150964513</v>
      </c>
      <c r="DA100" s="26">
        <v>0.80622705150964513</v>
      </c>
      <c r="DB100" s="26">
        <v>0.80622705150964513</v>
      </c>
      <c r="DC100" s="26"/>
      <c r="DD100" s="26">
        <v>0.80622705150964513</v>
      </c>
      <c r="DE100" s="26">
        <v>0.80622705150964513</v>
      </c>
      <c r="DF100" s="26"/>
      <c r="DG100" s="26"/>
      <c r="DH100" s="26">
        <v>0.80622705150964513</v>
      </c>
      <c r="DI100" s="26">
        <v>0.80622705150964513</v>
      </c>
      <c r="DJ100" s="26">
        <v>0.80622705150964513</v>
      </c>
      <c r="DK100" s="26">
        <v>0.80622705150964513</v>
      </c>
      <c r="DL100" s="26">
        <v>0.80622705150964513</v>
      </c>
      <c r="DM100" s="26">
        <v>0.80622705150964513</v>
      </c>
      <c r="DN100" s="26">
        <v>0.80622705150964513</v>
      </c>
      <c r="DO100" s="26">
        <v>0.80622705150964513</v>
      </c>
      <c r="DP100" s="26">
        <v>0.80622705150964513</v>
      </c>
      <c r="DQ100" s="26">
        <v>0.80622705150964513</v>
      </c>
      <c r="DR100" s="26">
        <v>0.80622705150964513</v>
      </c>
      <c r="DS100" s="26">
        <v>0.80622705150964513</v>
      </c>
      <c r="DT100" s="26"/>
      <c r="DU100" s="26"/>
      <c r="DV100" s="26">
        <v>0.30233514431611691</v>
      </c>
      <c r="DW100" s="26"/>
      <c r="DX100" s="26"/>
      <c r="DY100" s="26">
        <v>0.30233514431611691</v>
      </c>
      <c r="DZ100" s="26">
        <v>0.30233514431611691</v>
      </c>
      <c r="EA100" s="26">
        <v>0.30233514431611691</v>
      </c>
      <c r="EB100" s="26">
        <v>0.30233514431611691</v>
      </c>
      <c r="EC100" s="26">
        <v>0.30233514431611691</v>
      </c>
      <c r="ED100" s="26">
        <v>0.30233514431611691</v>
      </c>
      <c r="EE100" s="26">
        <v>0.30233514431611691</v>
      </c>
      <c r="EF100" s="26">
        <v>0.30233514431611691</v>
      </c>
      <c r="EG100" s="26">
        <v>0.30233514431611691</v>
      </c>
      <c r="EH100" s="26"/>
      <c r="EI100" s="26">
        <v>0.30233514431611691</v>
      </c>
      <c r="EJ100" s="26">
        <v>0.30233514431611691</v>
      </c>
      <c r="EK100" s="26"/>
      <c r="EL100" s="26">
        <v>0.30233514431611691</v>
      </c>
      <c r="EM100" s="26">
        <v>0.30233514431611691</v>
      </c>
      <c r="EN100" s="26">
        <v>0.30233514431611691</v>
      </c>
      <c r="EO100" s="26">
        <v>0.30233514431611691</v>
      </c>
      <c r="EP100" s="26">
        <v>0.30233514431611691</v>
      </c>
      <c r="EQ100" s="26">
        <v>0.30233514431611691</v>
      </c>
      <c r="ER100" s="26">
        <v>0.30233514431611691</v>
      </c>
      <c r="ES100" s="26">
        <v>0.30233514431611691</v>
      </c>
      <c r="ET100" s="26">
        <v>0.30233514431611691</v>
      </c>
      <c r="EU100" s="26">
        <v>0.30233514431611691</v>
      </c>
      <c r="EV100" s="26">
        <v>0.30233514431611691</v>
      </c>
      <c r="EW100" s="26">
        <v>0.30233514431611691</v>
      </c>
      <c r="EX100" s="26">
        <v>0.30233514431611691</v>
      </c>
      <c r="EY100" s="26">
        <v>0.30233514431611691</v>
      </c>
      <c r="EZ100" s="26">
        <v>0.30233514431611691</v>
      </c>
      <c r="FA100" s="26">
        <v>0.30233514431611691</v>
      </c>
      <c r="FB100" s="26">
        <v>0.30233514431611691</v>
      </c>
      <c r="FC100" s="26">
        <v>0.30233514431611691</v>
      </c>
      <c r="FD100" s="26">
        <v>0.30233514431611691</v>
      </c>
      <c r="FE100" s="26">
        <v>0.30233514431611691</v>
      </c>
      <c r="FF100" s="26">
        <v>0.30233514431611691</v>
      </c>
      <c r="FG100" s="26">
        <v>0.30233514431611691</v>
      </c>
      <c r="FH100" s="26">
        <v>0.30233514431611691</v>
      </c>
      <c r="FI100" s="26"/>
      <c r="FJ100" s="26">
        <v>0.30233514431611691</v>
      </c>
      <c r="FK100" s="26">
        <v>0.30233514431611691</v>
      </c>
    </row>
    <row r="101" spans="3:167" x14ac:dyDescent="0.2">
      <c r="C101" s="10">
        <f t="shared" si="33"/>
        <v>5.2519153135506874E-3</v>
      </c>
      <c r="D101" s="10">
        <f t="shared" si="34"/>
        <v>0.39027767491782955</v>
      </c>
      <c r="E101" s="10" cm="1">
        <f t="array" ref="E101">gavg(AF101,EL101)</f>
        <v>0.10400982472040331</v>
      </c>
      <c r="F101" s="10" cm="1">
        <f t="array" ref="F101">lnstdev(AF101,EL101)</f>
        <v>0.96402313054510491</v>
      </c>
      <c r="G101" s="10">
        <f t="shared" si="35"/>
        <v>73</v>
      </c>
      <c r="H101" s="10">
        <f t="shared" si="36"/>
        <v>0.11190012539053759</v>
      </c>
      <c r="I101" s="10">
        <f t="shared" si="37"/>
        <v>0.11442999242707175</v>
      </c>
      <c r="J101" s="10"/>
      <c r="K101" s="10"/>
      <c r="L101" s="10">
        <f t="shared" si="38"/>
        <v>4</v>
      </c>
      <c r="M101" s="10">
        <f t="shared" si="39"/>
        <v>5.2519153135506874E-3</v>
      </c>
      <c r="N101" s="10">
        <f t="shared" si="40"/>
        <v>0.27964893682728548</v>
      </c>
      <c r="O101" s="10">
        <f t="shared" si="41"/>
        <v>10</v>
      </c>
      <c r="P101" s="10">
        <f t="shared" si="42"/>
        <v>4.6133956640046957E-2</v>
      </c>
      <c r="Q101" s="10">
        <f t="shared" si="43"/>
        <v>0.39027767491782955</v>
      </c>
      <c r="R101" s="10">
        <f t="shared" si="44"/>
        <v>19</v>
      </c>
      <c r="S101" s="10">
        <f t="shared" si="45"/>
        <v>3.4621650077009618E-2</v>
      </c>
      <c r="T101" s="10">
        <f t="shared" si="46"/>
        <v>0.30819003553127877</v>
      </c>
      <c r="U101" s="10">
        <f t="shared" si="47"/>
        <v>27</v>
      </c>
      <c r="V101" s="10">
        <f t="shared" si="24"/>
        <v>3.0466369897510451E-2</v>
      </c>
      <c r="W101" s="10">
        <f t="shared" si="25"/>
        <v>0.27535884821279921</v>
      </c>
      <c r="X101" s="10">
        <f t="shared" si="26"/>
        <v>13</v>
      </c>
      <c r="Y101" s="10">
        <f t="shared" si="27"/>
        <v>8.0502035453020065E-2</v>
      </c>
      <c r="Z101" s="10">
        <f t="shared" si="28"/>
        <v>8.0502035453020065E-2</v>
      </c>
      <c r="AA101" s="10">
        <f t="shared" si="29"/>
        <v>1</v>
      </c>
      <c r="AB101" s="10">
        <f t="shared" si="30"/>
        <v>3.0466369897510451E-2</v>
      </c>
      <c r="AC101" s="10">
        <f t="shared" si="31"/>
        <v>0.27535884821279921</v>
      </c>
      <c r="AD101" s="10">
        <f t="shared" si="32"/>
        <v>12</v>
      </c>
      <c r="AE101" s="5" t="s">
        <v>275</v>
      </c>
      <c r="AF101" s="26"/>
      <c r="AG101" s="26"/>
      <c r="AH101" s="26"/>
      <c r="AI101" s="26"/>
      <c r="AJ101" s="26"/>
      <c r="AK101" s="26"/>
      <c r="AL101" s="26">
        <v>0.11190012539053759</v>
      </c>
      <c r="AM101" s="26">
        <v>0.11273374424399127</v>
      </c>
      <c r="AN101" s="26">
        <v>0.11366885154483222</v>
      </c>
      <c r="AO101" s="26">
        <v>0.11442999242707175</v>
      </c>
      <c r="AP101" s="26">
        <v>4.4684149834602248E-2</v>
      </c>
      <c r="AQ101" s="26">
        <v>2.7087186800784716E-2</v>
      </c>
      <c r="AR101" s="26">
        <v>1.461300352871321E-2</v>
      </c>
      <c r="AS101" s="26">
        <v>2.6957213424922577E-2</v>
      </c>
      <c r="AT101" s="26">
        <v>2.6974039659604571E-2</v>
      </c>
      <c r="AU101" s="26"/>
      <c r="AV101" s="26">
        <v>0.16149066560891406</v>
      </c>
      <c r="AW101" s="26"/>
      <c r="AX101" s="26"/>
      <c r="AY101" s="26"/>
      <c r="AZ101" s="26"/>
      <c r="BA101" s="26"/>
      <c r="BB101" s="26">
        <v>0.27964893682728548</v>
      </c>
      <c r="BC101" s="26"/>
      <c r="BD101" s="26"/>
      <c r="BE101" s="26"/>
      <c r="BF101" s="26"/>
      <c r="BG101" s="26"/>
      <c r="BH101" s="26"/>
      <c r="BI101" s="26">
        <v>5.2519153135506874E-3</v>
      </c>
      <c r="BJ101" s="26">
        <v>1.1083441585295296E-2</v>
      </c>
      <c r="BK101" s="26">
        <v>7.2601067126829948E-3</v>
      </c>
      <c r="BL101" s="26"/>
      <c r="BM101" s="26">
        <v>0.1226223806960563</v>
      </c>
      <c r="BN101" s="26">
        <v>0.26287539715916264</v>
      </c>
      <c r="BO101" s="26"/>
      <c r="BP101" s="26">
        <v>4.7335064855607234E-2</v>
      </c>
      <c r="BQ101" s="26">
        <v>8.1763542182470686E-2</v>
      </c>
      <c r="BR101" s="26">
        <v>7.934033215152414E-2</v>
      </c>
      <c r="BS101" s="26">
        <v>0.13169798184625589</v>
      </c>
      <c r="BT101" s="26">
        <v>0.17132739147044021</v>
      </c>
      <c r="BU101" s="26">
        <v>0.20186838125767537</v>
      </c>
      <c r="BV101" s="26">
        <v>0.21947461035904817</v>
      </c>
      <c r="BW101" s="26">
        <v>0.27517476064993834</v>
      </c>
      <c r="BX101" s="26">
        <v>0.3037768683137051</v>
      </c>
      <c r="BY101" s="26">
        <v>0.34095053047176926</v>
      </c>
      <c r="BZ101" s="26">
        <v>4.6133956640046957E-2</v>
      </c>
      <c r="CA101" s="26">
        <v>0.21376154717347309</v>
      </c>
      <c r="CB101" s="26">
        <v>0.18598942417556685</v>
      </c>
      <c r="CC101" s="26">
        <v>0.32552991764734113</v>
      </c>
      <c r="CD101" s="26">
        <v>0.35820013337095008</v>
      </c>
      <c r="CE101" s="26">
        <v>0.37569502730403881</v>
      </c>
      <c r="CF101" s="26">
        <v>0.39027767491782955</v>
      </c>
      <c r="CG101" s="26"/>
      <c r="CH101" s="26"/>
      <c r="CI101" s="26"/>
      <c r="CJ101" s="26"/>
      <c r="CK101" s="26"/>
      <c r="CL101" s="26"/>
      <c r="CM101" s="26"/>
      <c r="CN101" s="26"/>
      <c r="CO101" s="26"/>
      <c r="CP101" s="26">
        <v>4.1769133564628885E-2</v>
      </c>
      <c r="CQ101" s="26">
        <v>5.2555743342720507E-2</v>
      </c>
      <c r="CR101" s="26">
        <v>6.0035716886675361E-2</v>
      </c>
      <c r="CS101" s="26">
        <v>7.860689386680092E-2</v>
      </c>
      <c r="CT101" s="26">
        <v>8.9852287855913565E-2</v>
      </c>
      <c r="CU101" s="26">
        <v>9.743038461806873E-2</v>
      </c>
      <c r="CV101" s="26">
        <v>0.10914154501430377</v>
      </c>
      <c r="CW101" s="26">
        <v>0.12761974067335835</v>
      </c>
      <c r="CX101" s="26">
        <v>0.14006112226667836</v>
      </c>
      <c r="CY101" s="26">
        <v>0.14469322913725258</v>
      </c>
      <c r="CZ101" s="26">
        <v>0.15808757760029035</v>
      </c>
      <c r="DA101" s="26">
        <v>0.16605227155523075</v>
      </c>
      <c r="DB101" s="26">
        <v>0.17958359994569015</v>
      </c>
      <c r="DC101" s="26"/>
      <c r="DD101" s="26">
        <v>0.16562904297383532</v>
      </c>
      <c r="DE101" s="26">
        <v>4.2303715611736209E-2</v>
      </c>
      <c r="DF101" s="26"/>
      <c r="DG101" s="26"/>
      <c r="DH101" s="26">
        <v>0.22537673223112795</v>
      </c>
      <c r="DI101" s="26">
        <v>0.23881694077906018</v>
      </c>
      <c r="DJ101" s="26">
        <v>0.25194136363122765</v>
      </c>
      <c r="DK101" s="26">
        <v>0.26467284587405759</v>
      </c>
      <c r="DL101" s="26">
        <v>0.27862501622423935</v>
      </c>
      <c r="DM101" s="26">
        <v>3.4621650077009618E-2</v>
      </c>
      <c r="DN101" s="26">
        <v>3.4628580001747108E-2</v>
      </c>
      <c r="DO101" s="26">
        <v>3.6133779244356394E-2</v>
      </c>
      <c r="DP101" s="26">
        <v>4.0492284106892533E-2</v>
      </c>
      <c r="DQ101" s="26">
        <v>3.5967172474386404E-2</v>
      </c>
      <c r="DR101" s="26">
        <v>0.28929609753916641</v>
      </c>
      <c r="DS101" s="26">
        <v>0.30819003553127877</v>
      </c>
      <c r="DT101" s="26"/>
      <c r="DU101" s="26"/>
      <c r="DV101" s="26">
        <v>8.0502035453020065E-2</v>
      </c>
      <c r="DW101" s="26"/>
      <c r="DX101" s="26"/>
      <c r="DY101" s="26">
        <v>3.0466369897510451E-2</v>
      </c>
      <c r="DZ101" s="26">
        <v>6.0036397569410691E-2</v>
      </c>
      <c r="EA101" s="26">
        <v>7.098439083960259E-2</v>
      </c>
      <c r="EB101" s="26">
        <v>9.7535978655541283E-2</v>
      </c>
      <c r="EC101" s="26">
        <v>0.10888845017001325</v>
      </c>
      <c r="ED101" s="26">
        <v>0.12772234371659544</v>
      </c>
      <c r="EE101" s="26">
        <v>0.15144311015863962</v>
      </c>
      <c r="EF101" s="26">
        <v>0.15454622497441967</v>
      </c>
      <c r="EG101" s="26">
        <v>0.2110854533551251</v>
      </c>
      <c r="EH101" s="26"/>
      <c r="EI101" s="26">
        <v>0.25405350454552877</v>
      </c>
      <c r="EJ101" s="26">
        <v>0.27535884821279921</v>
      </c>
      <c r="EK101" s="26"/>
      <c r="EL101" s="26">
        <v>0.2124416544883112</v>
      </c>
      <c r="EM101" s="26">
        <v>2.5574432458961252E-2</v>
      </c>
      <c r="EN101" s="26">
        <v>5.155949330075385E-2</v>
      </c>
      <c r="EO101" s="26">
        <v>0.12530006280140912</v>
      </c>
      <c r="EP101" s="26">
        <v>0.16108771552284457</v>
      </c>
      <c r="EQ101" s="26">
        <v>0.19579076830907391</v>
      </c>
      <c r="ER101" s="26">
        <v>2.1548510542188717E-2</v>
      </c>
      <c r="ES101" s="26">
        <v>4.8348365609724712E-2</v>
      </c>
      <c r="ET101" s="26">
        <v>0.12198296996558664</v>
      </c>
      <c r="EU101" s="26">
        <v>0.15831178382208289</v>
      </c>
      <c r="EV101" s="26">
        <v>0.19259009921678089</v>
      </c>
      <c r="EW101" s="26">
        <v>2.1423776231744279E-2</v>
      </c>
      <c r="EX101" s="26">
        <v>4.9167504952880109E-2</v>
      </c>
      <c r="EY101" s="26">
        <v>0.13483455271549721</v>
      </c>
      <c r="EZ101" s="26">
        <v>0.1741452330159475</v>
      </c>
      <c r="FA101" s="26">
        <v>0.23666460136604089</v>
      </c>
      <c r="FB101" s="26">
        <v>2.0748954034872393E-2</v>
      </c>
      <c r="FC101" s="26">
        <v>6.149580564393143E-2</v>
      </c>
      <c r="FD101" s="26">
        <v>0.14334506594585791</v>
      </c>
      <c r="FE101" s="26">
        <v>0.18968372651940482</v>
      </c>
      <c r="FF101" s="26">
        <v>0.23416303759450305</v>
      </c>
      <c r="FG101" s="26">
        <v>2.4087423239189273E-2</v>
      </c>
      <c r="FH101" s="26">
        <v>7.2568000957089249E-2</v>
      </c>
      <c r="FI101" s="26"/>
      <c r="FJ101" s="26">
        <v>0.18928796299830253</v>
      </c>
      <c r="FK101" s="26">
        <v>0.25747960391225194</v>
      </c>
    </row>
    <row r="102" spans="3:167" x14ac:dyDescent="0.2">
      <c r="C102" s="10">
        <f t="shared" si="33"/>
        <v>3.8315320656109662E-3</v>
      </c>
      <c r="D102" s="10">
        <f t="shared" si="34"/>
        <v>4.3042305237308891E-2</v>
      </c>
      <c r="E102" s="10" cm="1">
        <f t="array" ref="E102">gavg(AF102,EL102)</f>
        <v>1.5146167809792024E-2</v>
      </c>
      <c r="F102" s="10" cm="1">
        <f t="array" ref="F102">lnstdev(AF102,EL102)</f>
        <v>0.53553808504431977</v>
      </c>
      <c r="G102" s="10">
        <f t="shared" si="35"/>
        <v>73</v>
      </c>
      <c r="H102" s="10">
        <f t="shared" si="36"/>
        <v>1.1435556925471038E-2</v>
      </c>
      <c r="I102" s="10">
        <f t="shared" si="37"/>
        <v>1.3532331306561009E-2</v>
      </c>
      <c r="J102" s="10"/>
      <c r="K102" s="10"/>
      <c r="L102" s="10">
        <f t="shared" si="38"/>
        <v>4</v>
      </c>
      <c r="M102" s="10">
        <f t="shared" si="39"/>
        <v>3.8315320656109662E-3</v>
      </c>
      <c r="N102" s="10">
        <f t="shared" si="40"/>
        <v>2.0506612983767068E-2</v>
      </c>
      <c r="O102" s="10">
        <f t="shared" si="41"/>
        <v>10</v>
      </c>
      <c r="P102" s="10">
        <f t="shared" si="42"/>
        <v>9.5990981945945613E-3</v>
      </c>
      <c r="Q102" s="10">
        <f t="shared" si="43"/>
        <v>1.8115208632069703E-2</v>
      </c>
      <c r="R102" s="10">
        <f t="shared" si="44"/>
        <v>19</v>
      </c>
      <c r="S102" s="10">
        <f t="shared" si="45"/>
        <v>6.1823775237311593E-3</v>
      </c>
      <c r="T102" s="10">
        <f t="shared" si="46"/>
        <v>2.3974023046599263E-2</v>
      </c>
      <c r="U102" s="10">
        <f t="shared" si="47"/>
        <v>27</v>
      </c>
      <c r="V102" s="10">
        <f t="shared" si="24"/>
        <v>1.328793805518322E-2</v>
      </c>
      <c r="W102" s="10">
        <f t="shared" si="25"/>
        <v>4.3042305237308891E-2</v>
      </c>
      <c r="X102" s="10">
        <f t="shared" si="26"/>
        <v>13</v>
      </c>
      <c r="Y102" s="10">
        <f t="shared" si="27"/>
        <v>2.0070307426262372E-2</v>
      </c>
      <c r="Z102" s="10">
        <f t="shared" si="28"/>
        <v>2.0070307426262372E-2</v>
      </c>
      <c r="AA102" s="10">
        <f t="shared" si="29"/>
        <v>1</v>
      </c>
      <c r="AB102" s="10">
        <f t="shared" si="30"/>
        <v>1.328793805518322E-2</v>
      </c>
      <c r="AC102" s="10">
        <f t="shared" si="31"/>
        <v>4.3042305237308891E-2</v>
      </c>
      <c r="AD102" s="10">
        <f t="shared" si="32"/>
        <v>12</v>
      </c>
      <c r="AE102" s="5" t="s">
        <v>276</v>
      </c>
      <c r="AF102" s="26"/>
      <c r="AG102" s="26"/>
      <c r="AH102" s="26"/>
      <c r="AI102" s="26"/>
      <c r="AJ102" s="26"/>
      <c r="AK102" s="26"/>
      <c r="AL102" s="26">
        <v>1.2396465690310355E-2</v>
      </c>
      <c r="AM102" s="26">
        <v>1.3532331306561009E-2</v>
      </c>
      <c r="AN102" s="26">
        <v>1.2605673950619156E-2</v>
      </c>
      <c r="AO102" s="26">
        <v>1.1435556925471038E-2</v>
      </c>
      <c r="AP102" s="26">
        <v>3.8315320656109662E-3</v>
      </c>
      <c r="AQ102" s="26">
        <v>4.1613751637386894E-3</v>
      </c>
      <c r="AR102" s="26">
        <v>7.8911390978932128E-3</v>
      </c>
      <c r="AS102" s="26">
        <v>1.0602174530182465E-2</v>
      </c>
      <c r="AT102" s="26">
        <v>1.4443037404676928E-2</v>
      </c>
      <c r="AU102" s="26"/>
      <c r="AV102" s="26">
        <v>1.3505111572020553E-2</v>
      </c>
      <c r="AW102" s="26"/>
      <c r="AX102" s="26"/>
      <c r="AY102" s="26"/>
      <c r="AZ102" s="26"/>
      <c r="BA102" s="26"/>
      <c r="BB102" s="26">
        <v>2.0506612983767068E-2</v>
      </c>
      <c r="BC102" s="26"/>
      <c r="BD102" s="26"/>
      <c r="BE102" s="26"/>
      <c r="BF102" s="26"/>
      <c r="BG102" s="26"/>
      <c r="BH102" s="26"/>
      <c r="BI102" s="26">
        <v>4.0037841966759982E-3</v>
      </c>
      <c r="BJ102" s="26">
        <v>8.1440617956045538E-3</v>
      </c>
      <c r="BK102" s="26">
        <v>4.4495399173816036E-3</v>
      </c>
      <c r="BL102" s="26"/>
      <c r="BM102" s="26">
        <v>1.3138742100559644E-2</v>
      </c>
      <c r="BN102" s="26">
        <v>1.7439001381226983E-2</v>
      </c>
      <c r="BO102" s="26"/>
      <c r="BP102" s="26">
        <v>9.5990981945945613E-3</v>
      </c>
      <c r="BQ102" s="26">
        <v>1.4315233536307058E-2</v>
      </c>
      <c r="BR102" s="26">
        <v>1.3027510350126687E-2</v>
      </c>
      <c r="BS102" s="26">
        <v>1.4691115871111226E-2</v>
      </c>
      <c r="BT102" s="26">
        <v>1.774403037805098E-2</v>
      </c>
      <c r="BU102" s="26">
        <v>1.6150547538427016E-2</v>
      </c>
      <c r="BV102" s="26">
        <v>1.7727495003354018E-2</v>
      </c>
      <c r="BW102" s="26">
        <v>1.714800885478256E-2</v>
      </c>
      <c r="BX102" s="26">
        <v>1.8115208632069703E-2</v>
      </c>
      <c r="BY102" s="26">
        <v>1.7574948765614599E-2</v>
      </c>
      <c r="BZ102" s="26">
        <v>9.662639626395091E-3</v>
      </c>
      <c r="CA102" s="26">
        <v>1.7342041430484803E-2</v>
      </c>
      <c r="CB102" s="26">
        <v>1.6741172043812272E-2</v>
      </c>
      <c r="CC102" s="26">
        <v>1.6441141042626176E-2</v>
      </c>
      <c r="CD102" s="26">
        <v>1.7582964014267691E-2</v>
      </c>
      <c r="CE102" s="26">
        <v>1.5635698174761316E-2</v>
      </c>
      <c r="CF102" s="26">
        <v>1.6161188143627013E-2</v>
      </c>
      <c r="CG102" s="26"/>
      <c r="CH102" s="26"/>
      <c r="CI102" s="26"/>
      <c r="CJ102" s="26"/>
      <c r="CK102" s="26"/>
      <c r="CL102" s="26"/>
      <c r="CM102" s="26"/>
      <c r="CN102" s="26"/>
      <c r="CO102" s="26"/>
      <c r="CP102" s="26">
        <v>7.9889172699646217E-3</v>
      </c>
      <c r="CQ102" s="26">
        <v>1.2166896812567106E-2</v>
      </c>
      <c r="CR102" s="26">
        <v>1.1317660111906788E-2</v>
      </c>
      <c r="CS102" s="26">
        <v>1.6745742478868446E-2</v>
      </c>
      <c r="CT102" s="26">
        <v>1.3554805679454806E-2</v>
      </c>
      <c r="CU102" s="26">
        <v>1.4888767917403598E-2</v>
      </c>
      <c r="CV102" s="26">
        <v>1.4324492724321052E-2</v>
      </c>
      <c r="CW102" s="26">
        <v>1.9967740448766511E-2</v>
      </c>
      <c r="CX102" s="26">
        <v>2.0188003187321786E-2</v>
      </c>
      <c r="CY102" s="26">
        <v>1.6687988117007106E-2</v>
      </c>
      <c r="CZ102" s="26">
        <v>1.8529081447203086E-2</v>
      </c>
      <c r="DA102" s="26">
        <v>1.9179985509318886E-2</v>
      </c>
      <c r="DB102" s="26">
        <v>2.1795083415632421E-2</v>
      </c>
      <c r="DC102" s="26"/>
      <c r="DD102" s="26">
        <v>1.6802231258159217E-2</v>
      </c>
      <c r="DE102" s="26">
        <v>8.2638768854500777E-3</v>
      </c>
      <c r="DF102" s="26"/>
      <c r="DG102" s="26"/>
      <c r="DH102" s="26">
        <v>2.1921461345475065E-2</v>
      </c>
      <c r="DI102" s="26">
        <v>2.3974023046599263E-2</v>
      </c>
      <c r="DJ102" s="26">
        <v>2.2701714706865054E-2</v>
      </c>
      <c r="DK102" s="26">
        <v>2.3403865955465643E-2</v>
      </c>
      <c r="DL102" s="26">
        <v>2.2186514291770643E-2</v>
      </c>
      <c r="DM102" s="26">
        <v>6.1823775237311593E-3</v>
      </c>
      <c r="DN102" s="26">
        <v>7.6706991349540848E-3</v>
      </c>
      <c r="DO102" s="26">
        <v>7.2374093108974755E-3</v>
      </c>
      <c r="DP102" s="26">
        <v>9.7242331723947847E-3</v>
      </c>
      <c r="DQ102" s="26">
        <v>6.7034810061095199E-3</v>
      </c>
      <c r="DR102" s="26">
        <v>2.0653942543980189E-2</v>
      </c>
      <c r="DS102" s="26">
        <v>2.1567360204259357E-2</v>
      </c>
      <c r="DT102" s="26"/>
      <c r="DU102" s="26"/>
      <c r="DV102" s="26">
        <v>2.0070307426262372E-2</v>
      </c>
      <c r="DW102" s="26"/>
      <c r="DX102" s="26"/>
      <c r="DY102" s="26">
        <v>1.328793805518322E-2</v>
      </c>
      <c r="DZ102" s="26">
        <v>2.0479813990698238E-2</v>
      </c>
      <c r="EA102" s="26">
        <v>2.2856553196296356E-2</v>
      </c>
      <c r="EB102" s="26">
        <v>2.9318750493455673E-2</v>
      </c>
      <c r="EC102" s="26">
        <v>2.5787512738601328E-2</v>
      </c>
      <c r="ED102" s="26">
        <v>3.4171454389984562E-2</v>
      </c>
      <c r="EE102" s="26">
        <v>3.4682957613304831E-2</v>
      </c>
      <c r="EF102" s="26">
        <v>3.1481317934545165E-2</v>
      </c>
      <c r="EG102" s="26">
        <v>4.2418556751312189E-2</v>
      </c>
      <c r="EH102" s="26"/>
      <c r="EI102" s="26">
        <v>4.3042305237308891E-2</v>
      </c>
      <c r="EJ102" s="26">
        <v>4.1952401516875751E-2</v>
      </c>
      <c r="EK102" s="26"/>
      <c r="EL102" s="26">
        <v>3.5303236666148388E-2</v>
      </c>
      <c r="EM102" s="26">
        <v>8.8387823163433026E-4</v>
      </c>
      <c r="EN102" s="26">
        <v>4.7698322947925813E-4</v>
      </c>
      <c r="EO102" s="26">
        <v>5.1640714102111674E-4</v>
      </c>
      <c r="EP102" s="26">
        <v>6.0785677087653626E-4</v>
      </c>
      <c r="EQ102" s="26">
        <v>8.2906912556692631E-4</v>
      </c>
      <c r="ER102" s="26">
        <v>1.1097302160169077E-3</v>
      </c>
      <c r="ES102" s="26">
        <v>1.9667927928033696E-3</v>
      </c>
      <c r="ET102" s="26">
        <v>3.2477503796554175E-3</v>
      </c>
      <c r="EU102" s="26">
        <v>3.7503767808816767E-3</v>
      </c>
      <c r="EV102" s="26">
        <v>3.4465869526497579E-3</v>
      </c>
      <c r="EW102" s="26">
        <v>1.6631170616530596E-3</v>
      </c>
      <c r="EX102" s="26">
        <v>3.055855528958156E-3</v>
      </c>
      <c r="EY102" s="26">
        <v>8.3285096671460966E-3</v>
      </c>
      <c r="EZ102" s="26">
        <v>1.0862996649603971E-2</v>
      </c>
      <c r="FA102" s="26">
        <v>2.4694601681985177E-2</v>
      </c>
      <c r="FB102" s="26">
        <v>2.0976183431488373E-3</v>
      </c>
      <c r="FC102" s="26">
        <v>9.1804743663335096E-3</v>
      </c>
      <c r="FD102" s="26">
        <v>1.7372044532477267E-2</v>
      </c>
      <c r="FE102" s="26">
        <v>1.8063084726240249E-2</v>
      </c>
      <c r="FF102" s="26">
        <v>2.035686646391793E-2</v>
      </c>
      <c r="FG102" s="26">
        <v>5.1187797253049554E-3</v>
      </c>
      <c r="FH102" s="26">
        <v>1.5618221224257428E-2</v>
      </c>
      <c r="FI102" s="26"/>
      <c r="FJ102" s="26">
        <v>2.5588581001811519E-2</v>
      </c>
      <c r="FK102" s="26">
        <v>3.5304956309239861E-2</v>
      </c>
    </row>
    <row r="103" spans="3:167" x14ac:dyDescent="0.2">
      <c r="C103" s="10">
        <f t="shared" si="33"/>
        <v>4.1409460961428675E-2</v>
      </c>
      <c r="D103" s="10">
        <f t="shared" si="34"/>
        <v>0.7623474404367615</v>
      </c>
      <c r="E103" s="10" cm="1">
        <f t="array" ref="E103">gavg(AF103,EL103)</f>
        <v>0.1456224722088281</v>
      </c>
      <c r="F103" s="10" cm="1">
        <f t="array" ref="F103">lnstdev(AF103,EL103)</f>
        <v>0.665860764687215</v>
      </c>
      <c r="G103" s="10">
        <f t="shared" si="35"/>
        <v>73</v>
      </c>
      <c r="H103" s="10">
        <f t="shared" si="36"/>
        <v>9.9934961830563079E-2</v>
      </c>
      <c r="I103" s="10">
        <f t="shared" si="37"/>
        <v>0.12003798327919268</v>
      </c>
      <c r="J103" s="10"/>
      <c r="K103" s="10"/>
      <c r="L103" s="10">
        <f t="shared" si="38"/>
        <v>4</v>
      </c>
      <c r="M103" s="10">
        <f t="shared" si="39"/>
        <v>7.3329844255521692E-2</v>
      </c>
      <c r="N103" s="10">
        <f t="shared" si="40"/>
        <v>0.7623474404367615</v>
      </c>
      <c r="O103" s="10">
        <f t="shared" si="41"/>
        <v>10</v>
      </c>
      <c r="P103" s="10">
        <f t="shared" si="42"/>
        <v>4.1409460961428675E-2</v>
      </c>
      <c r="Q103" s="10">
        <f t="shared" si="43"/>
        <v>0.20944745107787607</v>
      </c>
      <c r="R103" s="10">
        <f t="shared" si="44"/>
        <v>19</v>
      </c>
      <c r="S103" s="10">
        <f t="shared" si="45"/>
        <v>6.998071877009289E-2</v>
      </c>
      <c r="T103" s="10">
        <f t="shared" si="46"/>
        <v>0.24015027521600199</v>
      </c>
      <c r="U103" s="10">
        <f t="shared" si="47"/>
        <v>27</v>
      </c>
      <c r="V103" s="10">
        <f t="shared" si="24"/>
        <v>0.15235537840590707</v>
      </c>
      <c r="W103" s="10">
        <f t="shared" si="25"/>
        <v>0.43615101175112558</v>
      </c>
      <c r="X103" s="10">
        <f t="shared" si="26"/>
        <v>13</v>
      </c>
      <c r="Y103" s="10">
        <f t="shared" si="27"/>
        <v>0.24931428520183369</v>
      </c>
      <c r="Z103" s="10">
        <f t="shared" si="28"/>
        <v>0.24931428520183369</v>
      </c>
      <c r="AA103" s="10">
        <f t="shared" si="29"/>
        <v>1</v>
      </c>
      <c r="AB103" s="10">
        <f t="shared" si="30"/>
        <v>0.15235537840590707</v>
      </c>
      <c r="AC103" s="10">
        <f t="shared" si="31"/>
        <v>0.43615101175112558</v>
      </c>
      <c r="AD103" s="10">
        <f t="shared" si="32"/>
        <v>12</v>
      </c>
      <c r="AE103" s="5" t="s">
        <v>277</v>
      </c>
      <c r="AF103" s="26"/>
      <c r="AG103" s="26"/>
      <c r="AH103" s="26"/>
      <c r="AI103" s="26"/>
      <c r="AJ103" s="26"/>
      <c r="AK103" s="26"/>
      <c r="AL103" s="26">
        <v>0.11078151742052127</v>
      </c>
      <c r="AM103" s="26">
        <v>0.12003798327919268</v>
      </c>
      <c r="AN103" s="26">
        <v>0.1108982256730846</v>
      </c>
      <c r="AO103" s="26">
        <v>9.9934961830563079E-2</v>
      </c>
      <c r="AP103" s="26">
        <v>8.5747006036666878E-2</v>
      </c>
      <c r="AQ103" s="26">
        <v>0.15362891666616832</v>
      </c>
      <c r="AR103" s="26">
        <v>0.54000801973309931</v>
      </c>
      <c r="AS103" s="26">
        <v>0.39329638279231433</v>
      </c>
      <c r="AT103" s="26">
        <v>0.53544213573268906</v>
      </c>
      <c r="AU103" s="26"/>
      <c r="AV103" s="26">
        <v>8.3627815397864638E-2</v>
      </c>
      <c r="AW103" s="26"/>
      <c r="AX103" s="26"/>
      <c r="AY103" s="26"/>
      <c r="AZ103" s="26"/>
      <c r="BA103" s="26"/>
      <c r="BB103" s="26">
        <v>7.3329844255521692E-2</v>
      </c>
      <c r="BC103" s="26"/>
      <c r="BD103" s="26"/>
      <c r="BE103" s="26"/>
      <c r="BF103" s="26"/>
      <c r="BG103" s="26"/>
      <c r="BH103" s="26"/>
      <c r="BI103" s="26">
        <v>0.7623474404367615</v>
      </c>
      <c r="BJ103" s="26">
        <v>0.73479539120858473</v>
      </c>
      <c r="BK103" s="26">
        <v>0.61287527766065886</v>
      </c>
      <c r="BL103" s="26"/>
      <c r="BM103" s="26">
        <v>0.10714799391415016</v>
      </c>
      <c r="BN103" s="26">
        <v>6.6339420005396041E-2</v>
      </c>
      <c r="BO103" s="26"/>
      <c r="BP103" s="26">
        <v>0.20279043081225373</v>
      </c>
      <c r="BQ103" s="26">
        <v>0.1750808875716261</v>
      </c>
      <c r="BR103" s="26">
        <v>0.16419782973994554</v>
      </c>
      <c r="BS103" s="26">
        <v>0.11155156415579413</v>
      </c>
      <c r="BT103" s="26">
        <v>0.10356797138951612</v>
      </c>
      <c r="BU103" s="26">
        <v>8.0005335346755524E-2</v>
      </c>
      <c r="BV103" s="26">
        <v>8.0772418159680656E-2</v>
      </c>
      <c r="BW103" s="26">
        <v>6.2316793932265031E-2</v>
      </c>
      <c r="BX103" s="26">
        <v>5.9633272054679429E-2</v>
      </c>
      <c r="BY103" s="26">
        <v>5.1546917206130603E-2</v>
      </c>
      <c r="BZ103" s="26">
        <v>0.20944745107787607</v>
      </c>
      <c r="CA103" s="26">
        <v>8.112797488507735E-2</v>
      </c>
      <c r="CB103" s="26">
        <v>9.0011419294514561E-2</v>
      </c>
      <c r="CC103" s="26">
        <v>5.0505775817623888E-2</v>
      </c>
      <c r="CD103" s="26">
        <v>4.9086983437995738E-2</v>
      </c>
      <c r="CE103" s="26">
        <v>4.161805996465269E-2</v>
      </c>
      <c r="CF103" s="26">
        <v>4.1409460961428675E-2</v>
      </c>
      <c r="CG103" s="26"/>
      <c r="CH103" s="26"/>
      <c r="CI103" s="26"/>
      <c r="CJ103" s="26"/>
      <c r="CK103" s="26"/>
      <c r="CL103" s="26"/>
      <c r="CM103" s="26"/>
      <c r="CN103" s="26"/>
      <c r="CO103" s="26"/>
      <c r="CP103" s="26">
        <v>0.19126365783009275</v>
      </c>
      <c r="CQ103" s="26">
        <v>0.23150460898679956</v>
      </c>
      <c r="CR103" s="26">
        <v>0.18851544878310078</v>
      </c>
      <c r="CS103" s="26">
        <v>0.21303147415090642</v>
      </c>
      <c r="CT103" s="26">
        <v>0.15085654470135684</v>
      </c>
      <c r="CU103" s="26">
        <v>0.1528144220693391</v>
      </c>
      <c r="CV103" s="26">
        <v>0.13124693005256363</v>
      </c>
      <c r="CW103" s="26">
        <v>0.15646278815025783</v>
      </c>
      <c r="CX103" s="26">
        <v>0.14413709429575713</v>
      </c>
      <c r="CY103" s="26">
        <v>0.11533357999203456</v>
      </c>
      <c r="CZ103" s="26">
        <v>0.11720770049403967</v>
      </c>
      <c r="DA103" s="26">
        <v>0.11550570991700898</v>
      </c>
      <c r="DB103" s="26">
        <v>0.12136455345712922</v>
      </c>
      <c r="DC103" s="26"/>
      <c r="DD103" s="26">
        <v>0.10144495769871406</v>
      </c>
      <c r="DE103" s="26">
        <v>0.19534636061985658</v>
      </c>
      <c r="DF103" s="26"/>
      <c r="DG103" s="26"/>
      <c r="DH103" s="26">
        <v>9.7265858495961366E-2</v>
      </c>
      <c r="DI103" s="26">
        <v>0.10038660979573749</v>
      </c>
      <c r="DJ103" s="26">
        <v>9.0107135960786788E-2</v>
      </c>
      <c r="DK103" s="26">
        <v>8.8425640636373329E-2</v>
      </c>
      <c r="DL103" s="26">
        <v>7.9628579631610616E-2</v>
      </c>
      <c r="DM103" s="26">
        <v>0.17856969584001847</v>
      </c>
      <c r="DN103" s="26">
        <v>0.22151353403942861</v>
      </c>
      <c r="DO103" s="26">
        <v>0.2002948338714905</v>
      </c>
      <c r="DP103" s="26">
        <v>0.24015027521600199</v>
      </c>
      <c r="DQ103" s="26">
        <v>0.18637775907692841</v>
      </c>
      <c r="DR103" s="26">
        <v>7.1393782078874923E-2</v>
      </c>
      <c r="DS103" s="26">
        <v>6.998071877009289E-2</v>
      </c>
      <c r="DT103" s="26"/>
      <c r="DU103" s="26"/>
      <c r="DV103" s="26">
        <v>0.24931428520183369</v>
      </c>
      <c r="DW103" s="26"/>
      <c r="DX103" s="26"/>
      <c r="DY103" s="26">
        <v>0.43615101175112558</v>
      </c>
      <c r="DZ103" s="26">
        <v>0.34112329886250475</v>
      </c>
      <c r="EA103" s="26">
        <v>0.32199407399217345</v>
      </c>
      <c r="EB103" s="26">
        <v>0.30059421044000562</v>
      </c>
      <c r="EC103" s="26">
        <v>0.2368250507591754</v>
      </c>
      <c r="ED103" s="26">
        <v>0.26754484294312664</v>
      </c>
      <c r="EE103" s="26">
        <v>0.22901641135720044</v>
      </c>
      <c r="EF103" s="26">
        <v>0.20370162998000063</v>
      </c>
      <c r="EG103" s="26">
        <v>0.20095442901007596</v>
      </c>
      <c r="EH103" s="26"/>
      <c r="EI103" s="26">
        <v>0.16942220621717621</v>
      </c>
      <c r="EJ103" s="26">
        <v>0.15235537840590707</v>
      </c>
      <c r="EK103" s="26"/>
      <c r="EL103" s="26">
        <v>0.16617850558159164</v>
      </c>
      <c r="EM103" s="26">
        <v>3.4561010612949902E-2</v>
      </c>
      <c r="EN103" s="26">
        <v>9.251123293569764E-3</v>
      </c>
      <c r="EO103" s="26">
        <v>4.1213637844665883E-3</v>
      </c>
      <c r="EP103" s="26">
        <v>3.7734520531476118E-3</v>
      </c>
      <c r="EQ103" s="26">
        <v>4.2344648459531229E-3</v>
      </c>
      <c r="ER103" s="26">
        <v>5.1499161106482234E-2</v>
      </c>
      <c r="ES103" s="26">
        <v>4.0679612805934684E-2</v>
      </c>
      <c r="ET103" s="26">
        <v>2.6624621294035228E-2</v>
      </c>
      <c r="EU103" s="26">
        <v>2.3689814430342723E-2</v>
      </c>
      <c r="EV103" s="26">
        <v>1.7895971634399821E-2</v>
      </c>
      <c r="EW103" s="26">
        <v>7.762950115156482E-2</v>
      </c>
      <c r="EX103" s="26">
        <v>6.2151934125735046E-2</v>
      </c>
      <c r="EY103" s="26">
        <v>6.1768363519693413E-2</v>
      </c>
      <c r="EZ103" s="26">
        <v>6.2378949233765031E-2</v>
      </c>
      <c r="FA103" s="26">
        <v>0.10434429796195374</v>
      </c>
      <c r="FB103" s="26">
        <v>0.10109513663307595</v>
      </c>
      <c r="FC103" s="26">
        <v>0.14928618741072569</v>
      </c>
      <c r="FD103" s="26">
        <v>0.12119039059941392</v>
      </c>
      <c r="FE103" s="26">
        <v>9.5227382220331794E-2</v>
      </c>
      <c r="FF103" s="26">
        <v>8.6934584864625977E-2</v>
      </c>
      <c r="FG103" s="26">
        <v>0.2125083980330825</v>
      </c>
      <c r="FH103" s="26">
        <v>0.2152218749072716</v>
      </c>
      <c r="FI103" s="26"/>
      <c r="FJ103" s="26">
        <v>0.13518335025899661</v>
      </c>
      <c r="FK103" s="26">
        <v>0.13711748726035658</v>
      </c>
    </row>
    <row r="104" spans="3:167" x14ac:dyDescent="0.2">
      <c r="C104" s="10">
        <f t="shared" si="33"/>
        <v>2.4131423627338167E-2</v>
      </c>
      <c r="D104" s="10">
        <f t="shared" si="34"/>
        <v>60.334461721472955</v>
      </c>
      <c r="E104" s="10" cm="1">
        <f t="array" ref="E104">gavg(AF104,EL104)</f>
        <v>1.3625675280705507</v>
      </c>
      <c r="F104" s="10" cm="1">
        <f t="array" ref="F104">lnstdev(AF104,EL104)</f>
        <v>2.4464514052978181</v>
      </c>
      <c r="G104" s="10">
        <f t="shared" si="35"/>
        <v>73</v>
      </c>
      <c r="H104" s="10">
        <f t="shared" si="36"/>
        <v>8.0955186032486264</v>
      </c>
      <c r="I104" s="10">
        <f t="shared" si="37"/>
        <v>10.269789422568172</v>
      </c>
      <c r="J104" s="10"/>
      <c r="K104" s="10"/>
      <c r="L104" s="10">
        <f t="shared" si="38"/>
        <v>4</v>
      </c>
      <c r="M104" s="10">
        <f t="shared" si="39"/>
        <v>7.0246340623059386E-2</v>
      </c>
      <c r="N104" s="10">
        <f t="shared" si="40"/>
        <v>0.79960879579848654</v>
      </c>
      <c r="O104" s="10">
        <f t="shared" si="41"/>
        <v>10</v>
      </c>
      <c r="P104" s="10">
        <f t="shared" si="42"/>
        <v>2.4131423627338167E-2</v>
      </c>
      <c r="Q104" s="10">
        <f t="shared" si="43"/>
        <v>7.6800592678728671E-2</v>
      </c>
      <c r="R104" s="10">
        <f t="shared" si="44"/>
        <v>19</v>
      </c>
      <c r="S104" s="10">
        <f t="shared" si="45"/>
        <v>2.4320035782506717</v>
      </c>
      <c r="T104" s="10">
        <f t="shared" si="46"/>
        <v>7.2060688871741645</v>
      </c>
      <c r="U104" s="10">
        <f t="shared" si="47"/>
        <v>27</v>
      </c>
      <c r="V104" s="10">
        <f t="shared" si="24"/>
        <v>20.795312936489324</v>
      </c>
      <c r="W104" s="10">
        <f t="shared" si="25"/>
        <v>60.334461721472955</v>
      </c>
      <c r="X104" s="10">
        <f t="shared" si="26"/>
        <v>13</v>
      </c>
      <c r="Y104" s="10">
        <f t="shared" si="27"/>
        <v>41.515633571236904</v>
      </c>
      <c r="Z104" s="10">
        <f t="shared" si="28"/>
        <v>41.515633571236904</v>
      </c>
      <c r="AA104" s="10">
        <f t="shared" si="29"/>
        <v>1</v>
      </c>
      <c r="AB104" s="10">
        <f t="shared" si="30"/>
        <v>20.795312936489324</v>
      </c>
      <c r="AC104" s="10">
        <f t="shared" si="31"/>
        <v>60.334461721472955</v>
      </c>
      <c r="AD104" s="10">
        <f t="shared" si="32"/>
        <v>12</v>
      </c>
      <c r="AE104" s="5" t="s">
        <v>279</v>
      </c>
      <c r="AF104" s="26"/>
      <c r="AG104" s="26"/>
      <c r="AH104" s="26"/>
      <c r="AI104" s="26"/>
      <c r="AJ104" s="26"/>
      <c r="AK104" s="26"/>
      <c r="AL104" s="26">
        <v>9.8320282300904935</v>
      </c>
      <c r="AM104" s="26">
        <v>10.269789422568172</v>
      </c>
      <c r="AN104" s="26">
        <v>9.2343306842455064</v>
      </c>
      <c r="AO104" s="26">
        <v>8.0955186032486264</v>
      </c>
      <c r="AP104" s="26">
        <v>0.79960879579848654</v>
      </c>
      <c r="AQ104" s="26">
        <v>0.37600309167149604</v>
      </c>
      <c r="AR104" s="26">
        <v>7.7393785305309826E-2</v>
      </c>
      <c r="AS104" s="26">
        <v>0.15155399739369443</v>
      </c>
      <c r="AT104" s="26">
        <v>8.1861007027677499E-2</v>
      </c>
      <c r="AU104" s="26"/>
      <c r="AV104" s="26">
        <v>0.37599344211084418</v>
      </c>
      <c r="AW104" s="26"/>
      <c r="AX104" s="26"/>
      <c r="AY104" s="26"/>
      <c r="AZ104" s="26"/>
      <c r="BA104" s="26"/>
      <c r="BB104" s="26">
        <v>0.41735120717618152</v>
      </c>
      <c r="BC104" s="26"/>
      <c r="BD104" s="26"/>
      <c r="BE104" s="26"/>
      <c r="BF104" s="26"/>
      <c r="BG104" s="26"/>
      <c r="BH104" s="26"/>
      <c r="BI104" s="26">
        <v>8.0487819246241751E-2</v>
      </c>
      <c r="BJ104" s="26">
        <v>7.0246340623059386E-2</v>
      </c>
      <c r="BK104" s="26">
        <v>0.10628975728950302</v>
      </c>
      <c r="BL104" s="26"/>
      <c r="BM104" s="26">
        <v>5.9398597966987286E-2</v>
      </c>
      <c r="BN104" s="26">
        <v>7.6338369463577707E-2</v>
      </c>
      <c r="BO104" s="26"/>
      <c r="BP104" s="26">
        <v>2.9417057815180794E-2</v>
      </c>
      <c r="BQ104" s="26">
        <v>4.8498875636079436E-2</v>
      </c>
      <c r="BR104" s="26">
        <v>3.2597432929178202E-2</v>
      </c>
      <c r="BS104" s="26">
        <v>5.0006275208763801E-2</v>
      </c>
      <c r="BT104" s="26">
        <v>6.6003701420212155E-2</v>
      </c>
      <c r="BU104" s="26">
        <v>6.6362881739555804E-2</v>
      </c>
      <c r="BV104" s="26">
        <v>6.7255875663059878E-2</v>
      </c>
      <c r="BW104" s="26">
        <v>6.3227814842853461E-2</v>
      </c>
      <c r="BX104" s="26">
        <v>7.1307936760002508E-2</v>
      </c>
      <c r="BY104" s="26">
        <v>7.6800592678728671E-2</v>
      </c>
      <c r="BZ104" s="26">
        <v>2.4131423627338167E-2</v>
      </c>
      <c r="CA104" s="26">
        <v>7.5292099535454279E-2</v>
      </c>
      <c r="CB104" s="26">
        <v>6.273731877476442E-2</v>
      </c>
      <c r="CC104" s="26">
        <v>6.7919908834008599E-2</v>
      </c>
      <c r="CD104" s="26">
        <v>7.2277792712980168E-2</v>
      </c>
      <c r="CE104" s="26">
        <v>6.0421485799443501E-2</v>
      </c>
      <c r="CF104" s="26">
        <v>6.2782373665663624E-2</v>
      </c>
      <c r="CG104" s="26"/>
      <c r="CH104" s="26"/>
      <c r="CI104" s="26"/>
      <c r="CJ104" s="26"/>
      <c r="CK104" s="26"/>
      <c r="CL104" s="26"/>
      <c r="CM104" s="26"/>
      <c r="CN104" s="26"/>
      <c r="CO104" s="26"/>
      <c r="CP104" s="26">
        <v>3.2763292145284764</v>
      </c>
      <c r="CQ104" s="26">
        <v>3.5780029595894787</v>
      </c>
      <c r="CR104" s="26">
        <v>2.4320035782506717</v>
      </c>
      <c r="CS104" s="26">
        <v>4.3724632694468371</v>
      </c>
      <c r="CT104" s="26">
        <v>3.7409729434891204</v>
      </c>
      <c r="CU104" s="26">
        <v>3.2041975133084151</v>
      </c>
      <c r="CV104" s="26">
        <v>3.2915707354207941</v>
      </c>
      <c r="CW104" s="26">
        <v>5.2926597397292063</v>
      </c>
      <c r="CX104" s="26">
        <v>4.6292974246486462</v>
      </c>
      <c r="CY104" s="26">
        <v>3.7254529721528891</v>
      </c>
      <c r="CZ104" s="26">
        <v>4.4632996081193923</v>
      </c>
      <c r="DA104" s="26">
        <v>4.6971995576709489</v>
      </c>
      <c r="DB104" s="26">
        <v>5.734800794510317</v>
      </c>
      <c r="DC104" s="26"/>
      <c r="DD104" s="26">
        <v>3.3843755291614781</v>
      </c>
      <c r="DE104" s="26">
        <v>4.1639858529419831</v>
      </c>
      <c r="DF104" s="26"/>
      <c r="DG104" s="26"/>
      <c r="DH104" s="26">
        <v>5.3331601596186813</v>
      </c>
      <c r="DI104" s="26">
        <v>5.110409235920244</v>
      </c>
      <c r="DJ104" s="26">
        <v>5.0057709122421725</v>
      </c>
      <c r="DK104" s="26">
        <v>5.3191074234868481</v>
      </c>
      <c r="DL104" s="26">
        <v>5.2466200413683666</v>
      </c>
      <c r="DM104" s="26">
        <v>7.0555250037321873</v>
      </c>
      <c r="DN104" s="26">
        <v>3.4486184707233734</v>
      </c>
      <c r="DO104" s="26">
        <v>7.2060688871741645</v>
      </c>
      <c r="DP104" s="26">
        <v>4.3212553925393875</v>
      </c>
      <c r="DQ104" s="26">
        <v>3.3387990673469576</v>
      </c>
      <c r="DR104" s="26">
        <v>4.564433807548153</v>
      </c>
      <c r="DS104" s="26">
        <v>5.1235468481277504</v>
      </c>
      <c r="DT104" s="26"/>
      <c r="DU104" s="26"/>
      <c r="DV104" s="26">
        <v>41.515633571236904</v>
      </c>
      <c r="DW104" s="26"/>
      <c r="DX104" s="26"/>
      <c r="DY104" s="26">
        <v>60.334461721472955</v>
      </c>
      <c r="DZ104" s="26">
        <v>31.351862527399216</v>
      </c>
      <c r="EA104" s="26">
        <v>20.795312936489324</v>
      </c>
      <c r="EB104" s="26">
        <v>32.763553731418575</v>
      </c>
      <c r="EC104" s="26">
        <v>28.665574896059891</v>
      </c>
      <c r="ED104" s="26">
        <v>29.04652396355824</v>
      </c>
      <c r="EE104" s="26">
        <v>33.088429107909775</v>
      </c>
      <c r="EF104" s="26">
        <v>28.088513498178227</v>
      </c>
      <c r="EG104" s="26">
        <v>46.934561136825828</v>
      </c>
      <c r="EH104" s="26"/>
      <c r="EI104" s="26">
        <v>37.425715056839714</v>
      </c>
      <c r="EJ104" s="26">
        <v>39.688328609706929</v>
      </c>
      <c r="EK104" s="26"/>
      <c r="EL104" s="26">
        <v>27.702289246856292</v>
      </c>
      <c r="EM104" s="26">
        <v>1.080490729073406</v>
      </c>
      <c r="EN104" s="26">
        <v>0.35740140902473394</v>
      </c>
      <c r="EO104" s="26">
        <v>0.3774726946862863</v>
      </c>
      <c r="EP104" s="26">
        <v>0.38055586028618704</v>
      </c>
      <c r="EQ104" s="26">
        <v>0.57248263802781441</v>
      </c>
      <c r="ER104" s="26">
        <v>1.1729653547684062</v>
      </c>
      <c r="ES104" s="26">
        <v>2.3706255255653672</v>
      </c>
      <c r="ET104" s="26">
        <v>2.3347212142372333</v>
      </c>
      <c r="EU104" s="26">
        <v>2.3246769235546623</v>
      </c>
      <c r="EV104" s="26">
        <v>2.348966666407251</v>
      </c>
      <c r="EW104" s="26">
        <v>1.7553359491489426</v>
      </c>
      <c r="EX104" s="26">
        <v>3.7642186038750589</v>
      </c>
      <c r="EY104" s="26">
        <v>6.7884611886463269</v>
      </c>
      <c r="EZ104" s="26">
        <v>9.9930656878712263</v>
      </c>
      <c r="FA104" s="26">
        <v>22.872168855755071</v>
      </c>
      <c r="FB104" s="26">
        <v>2.1484391505058507</v>
      </c>
      <c r="FC104" s="26">
        <v>14.344164629261572</v>
      </c>
      <c r="FD104" s="26">
        <v>15.384591043533662</v>
      </c>
      <c r="FE104" s="26">
        <v>18.79147391343988</v>
      </c>
      <c r="FF104" s="26">
        <v>18.578003801959394</v>
      </c>
      <c r="FG104" s="26">
        <v>6.0801476296281276</v>
      </c>
      <c r="FH104" s="26">
        <v>29.104581912616386</v>
      </c>
      <c r="FI104" s="26"/>
      <c r="FJ104" s="26">
        <v>26.477492814967494</v>
      </c>
      <c r="FK104" s="26">
        <v>31.191989323068753</v>
      </c>
    </row>
    <row r="105" spans="3:167" x14ac:dyDescent="0.2">
      <c r="C105" s="10">
        <f t="shared" si="33"/>
        <v>1.6548396999080731E-2</v>
      </c>
      <c r="D105" s="10">
        <f t="shared" si="34"/>
        <v>311.05533442012978</v>
      </c>
      <c r="E105" s="10" cm="1">
        <f t="array" ref="E105">gavg(AF105,EL105)</f>
        <v>9.024018501743031</v>
      </c>
      <c r="F105" s="10" cm="1">
        <f t="array" ref="F105">lnstdev(AF105,EL105)</f>
        <v>2.4503589881382046</v>
      </c>
      <c r="G105" s="10">
        <f t="shared" si="35"/>
        <v>73</v>
      </c>
      <c r="H105" s="10">
        <f t="shared" si="36"/>
        <v>6.5563433341052475</v>
      </c>
      <c r="I105" s="10">
        <f t="shared" si="37"/>
        <v>11.676808595293611</v>
      </c>
      <c r="J105" s="10"/>
      <c r="K105" s="10"/>
      <c r="L105" s="10">
        <f t="shared" si="38"/>
        <v>4</v>
      </c>
      <c r="M105" s="10">
        <f t="shared" si="39"/>
        <v>1.6548396999080731E-2</v>
      </c>
      <c r="N105" s="10">
        <f t="shared" si="40"/>
        <v>1.3902533365872309</v>
      </c>
      <c r="O105" s="10">
        <f t="shared" si="41"/>
        <v>10</v>
      </c>
      <c r="P105" s="10">
        <f t="shared" si="42"/>
        <v>0.59701908005711291</v>
      </c>
      <c r="Q105" s="10">
        <f t="shared" si="43"/>
        <v>2.4619614170608926</v>
      </c>
      <c r="R105" s="10">
        <f t="shared" si="44"/>
        <v>19</v>
      </c>
      <c r="S105" s="10">
        <f t="shared" si="45"/>
        <v>6.6217027697659123</v>
      </c>
      <c r="T105" s="10">
        <f t="shared" si="46"/>
        <v>114.20364808425266</v>
      </c>
      <c r="U105" s="10">
        <f t="shared" si="47"/>
        <v>27</v>
      </c>
      <c r="V105" s="10">
        <f t="shared" si="24"/>
        <v>7.9885807397427184</v>
      </c>
      <c r="W105" s="10">
        <f t="shared" si="25"/>
        <v>311.05533442012978</v>
      </c>
      <c r="X105" s="10">
        <f t="shared" si="26"/>
        <v>13</v>
      </c>
      <c r="Y105" s="10">
        <f t="shared" si="27"/>
        <v>44.35091585152103</v>
      </c>
      <c r="Z105" s="10">
        <f t="shared" si="28"/>
        <v>44.35091585152103</v>
      </c>
      <c r="AA105" s="10">
        <f t="shared" si="29"/>
        <v>1</v>
      </c>
      <c r="AB105" s="10">
        <f t="shared" si="30"/>
        <v>7.9885807397427184</v>
      </c>
      <c r="AC105" s="10">
        <f t="shared" si="31"/>
        <v>311.05533442012978</v>
      </c>
      <c r="AD105" s="10">
        <f t="shared" si="32"/>
        <v>12</v>
      </c>
      <c r="AE105" s="5" t="s">
        <v>280</v>
      </c>
      <c r="AF105" s="26"/>
      <c r="AG105" s="26"/>
      <c r="AH105" s="26"/>
      <c r="AI105" s="26"/>
      <c r="AJ105" s="26"/>
      <c r="AK105" s="26"/>
      <c r="AL105" s="26">
        <v>11.35717429884078</v>
      </c>
      <c r="AM105" s="26">
        <v>11.676808595293611</v>
      </c>
      <c r="AN105" s="26">
        <v>8.9904408601882224</v>
      </c>
      <c r="AO105" s="26">
        <v>6.5563433341052475</v>
      </c>
      <c r="AP105" s="26">
        <v>2.7507266335718098E-2</v>
      </c>
      <c r="AQ105" s="26">
        <v>1.6548396999080731E-2</v>
      </c>
      <c r="AR105" s="26">
        <v>0.26197861336775496</v>
      </c>
      <c r="AS105" s="26">
        <v>0.29543971133669639</v>
      </c>
      <c r="AT105" s="26">
        <v>1.0753010819070448</v>
      </c>
      <c r="AU105" s="26"/>
      <c r="AV105" s="26">
        <v>0.59917366242105785</v>
      </c>
      <c r="AW105" s="26"/>
      <c r="AX105" s="26"/>
      <c r="AY105" s="26"/>
      <c r="AZ105" s="26"/>
      <c r="BA105" s="26"/>
      <c r="BB105" s="26">
        <v>1.3902533365872309</v>
      </c>
      <c r="BC105" s="26"/>
      <c r="BD105" s="26"/>
      <c r="BE105" s="26"/>
      <c r="BF105" s="26"/>
      <c r="BG105" s="26"/>
      <c r="BH105" s="26"/>
      <c r="BI105" s="26">
        <v>2.0159271729796299E-2</v>
      </c>
      <c r="BJ105" s="26">
        <v>0.37652778878738485</v>
      </c>
      <c r="BK105" s="26">
        <v>1.8387273541790351E-2</v>
      </c>
      <c r="BL105" s="26"/>
      <c r="BM105" s="26">
        <v>1.2152089335906182</v>
      </c>
      <c r="BN105" s="26">
        <v>2.1101548909652514</v>
      </c>
      <c r="BO105" s="26"/>
      <c r="BP105" s="26">
        <v>0.59701908005711291</v>
      </c>
      <c r="BQ105" s="26">
        <v>1.6506706844659447</v>
      </c>
      <c r="BR105" s="26">
        <v>1.2653454939368602</v>
      </c>
      <c r="BS105" s="26">
        <v>1.6378601558082879</v>
      </c>
      <c r="BT105" s="26">
        <v>2.4619614170608926</v>
      </c>
      <c r="BU105" s="26">
        <v>1.7768345467681335</v>
      </c>
      <c r="BV105" s="26">
        <v>2.1944155989008154</v>
      </c>
      <c r="BW105" s="26">
        <v>2.2919284288108326</v>
      </c>
      <c r="BX105" s="26">
        <v>2.3655635823046688</v>
      </c>
      <c r="BY105" s="26">
        <v>2.1444353948116093</v>
      </c>
      <c r="BZ105" s="26">
        <v>0.76668714725716991</v>
      </c>
      <c r="CA105" s="26">
        <v>2.0407453966015066</v>
      </c>
      <c r="CB105" s="26">
        <v>1.8872882261526203</v>
      </c>
      <c r="CC105" s="26">
        <v>1.8532041114294266</v>
      </c>
      <c r="CD105" s="26">
        <v>2.2755317842421259</v>
      </c>
      <c r="CE105" s="26">
        <v>1.8834072569244962</v>
      </c>
      <c r="CF105" s="26">
        <v>1.8722520843369901</v>
      </c>
      <c r="CG105" s="26"/>
      <c r="CH105" s="26"/>
      <c r="CI105" s="26"/>
      <c r="CJ105" s="26"/>
      <c r="CK105" s="26"/>
      <c r="CL105" s="26"/>
      <c r="CM105" s="26"/>
      <c r="CN105" s="26"/>
      <c r="CO105" s="26"/>
      <c r="CP105" s="26">
        <v>8.3942727131575428</v>
      </c>
      <c r="CQ105" s="26">
        <v>26.309111817791972</v>
      </c>
      <c r="CR105" s="26">
        <v>27.991894868855518</v>
      </c>
      <c r="CS105" s="26">
        <v>51.401051762977382</v>
      </c>
      <c r="CT105" s="26">
        <v>28.338013615851313</v>
      </c>
      <c r="CU105" s="26">
        <v>43.036915079505427</v>
      </c>
      <c r="CV105" s="26">
        <v>35.405996380393312</v>
      </c>
      <c r="CW105" s="26">
        <v>64.843980839312977</v>
      </c>
      <c r="CX105" s="26">
        <v>85.555019314824705</v>
      </c>
      <c r="CY105" s="26">
        <v>51.611584566268959</v>
      </c>
      <c r="CZ105" s="26">
        <v>60.483446763445357</v>
      </c>
      <c r="DA105" s="26">
        <v>59.92533705208708</v>
      </c>
      <c r="DB105" s="26">
        <v>74.721571141213573</v>
      </c>
      <c r="DC105" s="26"/>
      <c r="DD105" s="26">
        <v>58.489489000138981</v>
      </c>
      <c r="DE105" s="26">
        <v>13.371664849457101</v>
      </c>
      <c r="DF105" s="26"/>
      <c r="DG105" s="26"/>
      <c r="DH105" s="26">
        <v>81.37700525294413</v>
      </c>
      <c r="DI105" s="26">
        <v>114.20364808425266</v>
      </c>
      <c r="DJ105" s="26">
        <v>94.562181494544745</v>
      </c>
      <c r="DK105" s="26">
        <v>93.553953833888713</v>
      </c>
      <c r="DL105" s="26">
        <v>79.59830947667524</v>
      </c>
      <c r="DM105" s="26">
        <v>6.9145229361782308</v>
      </c>
      <c r="DN105" s="26">
        <v>13.522393784689644</v>
      </c>
      <c r="DO105" s="26">
        <v>6.6217027697659123</v>
      </c>
      <c r="DP105" s="26">
        <v>15.514243636343274</v>
      </c>
      <c r="DQ105" s="26">
        <v>11.752433508372128</v>
      </c>
      <c r="DR105" s="26">
        <v>82.391368034816409</v>
      </c>
      <c r="DS105" s="26">
        <v>79.411616598298423</v>
      </c>
      <c r="DT105" s="26"/>
      <c r="DU105" s="26"/>
      <c r="DV105" s="26">
        <v>44.35091585152103</v>
      </c>
      <c r="DW105" s="26"/>
      <c r="DX105" s="26"/>
      <c r="DY105" s="26">
        <v>7.9885807397427184</v>
      </c>
      <c r="DZ105" s="26">
        <v>45.473138416829087</v>
      </c>
      <c r="EA105" s="26">
        <v>112.53728625061308</v>
      </c>
      <c r="EB105" s="26">
        <v>147.80673654393686</v>
      </c>
      <c r="EC105" s="26">
        <v>90.747422891034759</v>
      </c>
      <c r="ED105" s="26">
        <v>266.07009338629251</v>
      </c>
      <c r="EE105" s="26">
        <v>244.83519484250593</v>
      </c>
      <c r="EF105" s="26">
        <v>169.35905427144385</v>
      </c>
      <c r="EG105" s="26">
        <v>255.09947215400283</v>
      </c>
      <c r="EH105" s="26"/>
      <c r="EI105" s="26">
        <v>311.05533442012978</v>
      </c>
      <c r="EJ105" s="26">
        <v>295.89677974641819</v>
      </c>
      <c r="EK105" s="26"/>
      <c r="EL105" s="26">
        <v>247.80454804555748</v>
      </c>
      <c r="EM105" s="26">
        <v>0.29745878796946956</v>
      </c>
      <c r="EN105" s="26">
        <v>6.3108855490710866E-2</v>
      </c>
      <c r="EO105" s="26">
        <v>4.678014923554491E-2</v>
      </c>
      <c r="EP105" s="26">
        <v>8.0422987320037637E-2</v>
      </c>
      <c r="EQ105" s="26">
        <v>0.12218198464868174</v>
      </c>
      <c r="ER105" s="26">
        <v>0.49390133838710626</v>
      </c>
      <c r="ES105" s="26">
        <v>0.40079301654001948</v>
      </c>
      <c r="ET105" s="26">
        <v>1.8869181847717702</v>
      </c>
      <c r="EU105" s="26">
        <v>3.1046358535177561</v>
      </c>
      <c r="EV105" s="26">
        <v>2.1252330372704544</v>
      </c>
      <c r="EW105" s="26">
        <v>1.1190558010999931</v>
      </c>
      <c r="EX105" s="26">
        <v>0.97717612668783649</v>
      </c>
      <c r="EY105" s="26">
        <v>13.03396602474561</v>
      </c>
      <c r="EZ105" s="26">
        <v>16.84871325463034</v>
      </c>
      <c r="FA105" s="26">
        <v>132.30483030609338</v>
      </c>
      <c r="FB105" s="26">
        <v>1.7872462733803798</v>
      </c>
      <c r="FC105" s="26">
        <v>9.0719708315868317</v>
      </c>
      <c r="FD105" s="26">
        <v>59.148427962109025</v>
      </c>
      <c r="FE105" s="26">
        <v>50.120307066360759</v>
      </c>
      <c r="FF105" s="26">
        <v>89.190727747800025</v>
      </c>
      <c r="FG105" s="26">
        <v>10.621217935665065</v>
      </c>
      <c r="FH105" s="26">
        <v>26.823940841395199</v>
      </c>
      <c r="FI105" s="26"/>
      <c r="FJ105" s="26">
        <v>99.937796552638176</v>
      </c>
      <c r="FK105" s="26">
        <v>210.29444918665712</v>
      </c>
    </row>
    <row r="106" spans="3:167" x14ac:dyDescent="0.2">
      <c r="C106" s="10">
        <f t="shared" si="33"/>
        <v>1.0883533406655171E-7</v>
      </c>
      <c r="D106" s="10">
        <f t="shared" si="34"/>
        <v>3.8930778987445367E-3</v>
      </c>
      <c r="E106" s="10" cm="1">
        <f t="array" ref="E106">gavg(AF106,EL106)</f>
        <v>3.3448640343158458E-4</v>
      </c>
      <c r="F106" s="10" cm="1">
        <f t="array" ref="F106">lnstdev(AF106,EL106)</f>
        <v>2.5690901359929947</v>
      </c>
      <c r="G106" s="10">
        <f t="shared" si="35"/>
        <v>73</v>
      </c>
      <c r="H106" s="10">
        <f t="shared" si="36"/>
        <v>1.0883533406655171E-7</v>
      </c>
      <c r="I106" s="10">
        <f t="shared" si="37"/>
        <v>1.5926712185546125E-7</v>
      </c>
      <c r="J106" s="10"/>
      <c r="K106" s="10"/>
      <c r="L106" s="10">
        <f t="shared" si="38"/>
        <v>4</v>
      </c>
      <c r="M106" s="10">
        <f t="shared" si="39"/>
        <v>1.1035829101150555E-5</v>
      </c>
      <c r="N106" s="10">
        <f t="shared" si="40"/>
        <v>1.1039021606965493E-5</v>
      </c>
      <c r="O106" s="10">
        <f t="shared" si="41"/>
        <v>10</v>
      </c>
      <c r="P106" s="10">
        <f t="shared" si="42"/>
        <v>1.0697912062330218E-3</v>
      </c>
      <c r="Q106" s="10">
        <f t="shared" si="43"/>
        <v>1.0697912474663728E-3</v>
      </c>
      <c r="R106" s="10">
        <f t="shared" si="44"/>
        <v>19</v>
      </c>
      <c r="S106" s="10">
        <f t="shared" si="45"/>
        <v>5.1627706382854162E-4</v>
      </c>
      <c r="T106" s="10">
        <f t="shared" si="46"/>
        <v>5.1627717145744339E-4</v>
      </c>
      <c r="U106" s="10">
        <f t="shared" si="47"/>
        <v>27</v>
      </c>
      <c r="V106" s="10">
        <f t="shared" si="24"/>
        <v>3.8930778872934757E-3</v>
      </c>
      <c r="W106" s="10">
        <f t="shared" si="25"/>
        <v>3.8930778987445367E-3</v>
      </c>
      <c r="X106" s="10">
        <f t="shared" si="26"/>
        <v>13</v>
      </c>
      <c r="Y106" s="10">
        <f t="shared" si="27"/>
        <v>3.8930778935390964E-3</v>
      </c>
      <c r="Z106" s="10">
        <f t="shared" si="28"/>
        <v>3.8930778935390964E-3</v>
      </c>
      <c r="AA106" s="10">
        <f t="shared" si="29"/>
        <v>1</v>
      </c>
      <c r="AB106" s="10">
        <f t="shared" si="30"/>
        <v>3.8930778872934757E-3</v>
      </c>
      <c r="AC106" s="10">
        <f t="shared" si="31"/>
        <v>3.8930778987445367E-3</v>
      </c>
      <c r="AD106" s="10">
        <f t="shared" si="32"/>
        <v>12</v>
      </c>
      <c r="AE106" s="5" t="s">
        <v>235</v>
      </c>
      <c r="AF106" s="26"/>
      <c r="AG106" s="26"/>
      <c r="AH106" s="26"/>
      <c r="AI106" s="26"/>
      <c r="AJ106" s="26"/>
      <c r="AK106" s="26"/>
      <c r="AL106" s="26">
        <v>1.1643768410530511E-7</v>
      </c>
      <c r="AM106" s="26">
        <v>1.5926712185546125E-7</v>
      </c>
      <c r="AN106" s="26">
        <v>1.1689514704598329E-7</v>
      </c>
      <c r="AO106" s="26">
        <v>1.0883533406655171E-7</v>
      </c>
      <c r="AP106" s="26">
        <v>1.1039021606965493E-5</v>
      </c>
      <c r="AQ106" s="26">
        <v>1.103621268437912E-5</v>
      </c>
      <c r="AR106" s="26">
        <v>1.1036600781464347E-5</v>
      </c>
      <c r="AS106" s="26">
        <v>1.1036511387667061E-5</v>
      </c>
      <c r="AT106" s="26">
        <v>1.1037128359759256E-5</v>
      </c>
      <c r="AU106" s="26"/>
      <c r="AV106" s="26">
        <v>1.1037269526189007E-5</v>
      </c>
      <c r="AW106" s="26"/>
      <c r="AX106" s="26"/>
      <c r="AY106" s="26"/>
      <c r="AZ106" s="26"/>
      <c r="BA106" s="26"/>
      <c r="BB106" s="26">
        <v>1.1036880068088008E-5</v>
      </c>
      <c r="BC106" s="26"/>
      <c r="BD106" s="26"/>
      <c r="BE106" s="26"/>
      <c r="BF106" s="26"/>
      <c r="BG106" s="26"/>
      <c r="BH106" s="26"/>
      <c r="BI106" s="26">
        <v>1.1037378024451383E-5</v>
      </c>
      <c r="BJ106" s="26">
        <v>1.1037241926141885E-5</v>
      </c>
      <c r="BK106" s="26">
        <v>1.1035829101150555E-5</v>
      </c>
      <c r="BL106" s="26"/>
      <c r="BM106" s="26">
        <v>1.0697912093801227E-3</v>
      </c>
      <c r="BN106" s="26">
        <v>1.0697912155570937E-3</v>
      </c>
      <c r="BO106" s="26"/>
      <c r="BP106" s="26">
        <v>1.0697912324051655E-3</v>
      </c>
      <c r="BQ106" s="26">
        <v>1.0697912119368607E-3</v>
      </c>
      <c r="BR106" s="26">
        <v>1.0697912275015983E-3</v>
      </c>
      <c r="BS106" s="26">
        <v>1.0697912106792235E-3</v>
      </c>
      <c r="BT106" s="26">
        <v>1.0697912152133088E-3</v>
      </c>
      <c r="BU106" s="26">
        <v>1.0697912373378864E-3</v>
      </c>
      <c r="BV106" s="26">
        <v>1.0697912111582142E-3</v>
      </c>
      <c r="BW106" s="26">
        <v>1.0697912097289281E-3</v>
      </c>
      <c r="BX106" s="26">
        <v>1.0697912097107694E-3</v>
      </c>
      <c r="BY106" s="26">
        <v>1.0697912073151627E-3</v>
      </c>
      <c r="BZ106" s="26">
        <v>1.0697912474663728E-3</v>
      </c>
      <c r="CA106" s="26">
        <v>1.0697912062330218E-3</v>
      </c>
      <c r="CB106" s="26">
        <v>1.0697912401497428E-3</v>
      </c>
      <c r="CC106" s="26">
        <v>1.069791216888654E-3</v>
      </c>
      <c r="CD106" s="26">
        <v>1.0697912090805218E-3</v>
      </c>
      <c r="CE106" s="26">
        <v>1.0697912102895796E-3</v>
      </c>
      <c r="CF106" s="26">
        <v>1.0697912332869211E-3</v>
      </c>
      <c r="CG106" s="26"/>
      <c r="CH106" s="26"/>
      <c r="CI106" s="26"/>
      <c r="CJ106" s="26"/>
      <c r="CK106" s="26"/>
      <c r="CL106" s="26"/>
      <c r="CM106" s="26"/>
      <c r="CN106" s="26"/>
      <c r="CO106" s="26"/>
      <c r="CP106" s="26">
        <v>5.1627712112635644E-4</v>
      </c>
      <c r="CQ106" s="26">
        <v>5.1627708126138422E-4</v>
      </c>
      <c r="CR106" s="26">
        <v>5.1627712359571113E-4</v>
      </c>
      <c r="CS106" s="26">
        <v>5.1627708495811757E-4</v>
      </c>
      <c r="CT106" s="26">
        <v>5.1627711869422902E-4</v>
      </c>
      <c r="CU106" s="26">
        <v>5.1627708228082591E-4</v>
      </c>
      <c r="CV106" s="26">
        <v>5.1627708132562743E-4</v>
      </c>
      <c r="CW106" s="26">
        <v>5.1627709838508176E-4</v>
      </c>
      <c r="CX106" s="26">
        <v>5.1627717145744339E-4</v>
      </c>
      <c r="CY106" s="26">
        <v>5.1627706865694188E-4</v>
      </c>
      <c r="CZ106" s="26">
        <v>5.1627707726358376E-4</v>
      </c>
      <c r="DA106" s="26">
        <v>5.1627706570545994E-4</v>
      </c>
      <c r="DB106" s="26">
        <v>5.1627706492481757E-4</v>
      </c>
      <c r="DC106" s="26"/>
      <c r="DD106" s="26">
        <v>5.1627706573218791E-4</v>
      </c>
      <c r="DE106" s="26">
        <v>5.1627708481763001E-4</v>
      </c>
      <c r="DF106" s="26"/>
      <c r="DG106" s="26"/>
      <c r="DH106" s="26">
        <v>5.1627706382854162E-4</v>
      </c>
      <c r="DI106" s="26">
        <v>5.1627707364998096E-4</v>
      </c>
      <c r="DJ106" s="26">
        <v>5.1627706939157191E-4</v>
      </c>
      <c r="DK106" s="26">
        <v>5.1627708654867349E-4</v>
      </c>
      <c r="DL106" s="26">
        <v>5.1627714904904393E-4</v>
      </c>
      <c r="DM106" s="26">
        <v>5.1627709731315698E-4</v>
      </c>
      <c r="DN106" s="26">
        <v>5.1627714178302585E-4</v>
      </c>
      <c r="DO106" s="26">
        <v>5.1627707340360805E-4</v>
      </c>
      <c r="DP106" s="26">
        <v>5.1627707027323232E-4</v>
      </c>
      <c r="DQ106" s="26">
        <v>5.162770908870829E-4</v>
      </c>
      <c r="DR106" s="26">
        <v>5.1627709297974076E-4</v>
      </c>
      <c r="DS106" s="26">
        <v>5.1627706811706103E-4</v>
      </c>
      <c r="DT106" s="26"/>
      <c r="DU106" s="26"/>
      <c r="DV106" s="26">
        <v>3.8930778935390964E-3</v>
      </c>
      <c r="DW106" s="26"/>
      <c r="DX106" s="26"/>
      <c r="DY106" s="26">
        <v>3.8930778875487858E-3</v>
      </c>
      <c r="DZ106" s="26">
        <v>3.8930778987445367E-3</v>
      </c>
      <c r="EA106" s="26">
        <v>3.8930778878380648E-3</v>
      </c>
      <c r="EB106" s="26">
        <v>3.8930778894385623E-3</v>
      </c>
      <c r="EC106" s="26">
        <v>3.893077890327092E-3</v>
      </c>
      <c r="ED106" s="26">
        <v>3.8930778892372927E-3</v>
      </c>
      <c r="EE106" s="26">
        <v>3.8930778872934757E-3</v>
      </c>
      <c r="EF106" s="26">
        <v>3.8930778880221146E-3</v>
      </c>
      <c r="EG106" s="26">
        <v>3.8930778877537984E-3</v>
      </c>
      <c r="EH106" s="26"/>
      <c r="EI106" s="26">
        <v>3.8930778886574614E-3</v>
      </c>
      <c r="EJ106" s="26">
        <v>3.8930778890313438E-3</v>
      </c>
      <c r="EK106" s="26"/>
      <c r="EL106" s="26">
        <v>3.8930778877500831E-3</v>
      </c>
      <c r="EM106" s="26">
        <v>3.893077889034445E-3</v>
      </c>
      <c r="EN106" s="26">
        <v>3.8930778909621955E-3</v>
      </c>
      <c r="EO106" s="26">
        <v>3.8930778912758817E-3</v>
      </c>
      <c r="EP106" s="26">
        <v>3.8930778886975851E-3</v>
      </c>
      <c r="EQ106" s="26">
        <v>3.8930778870939231E-3</v>
      </c>
      <c r="ER106" s="26">
        <v>3.8930778947450233E-3</v>
      </c>
      <c r="ES106" s="26">
        <v>3.8930778871551696E-3</v>
      </c>
      <c r="ET106" s="26">
        <v>3.8930778879100068E-3</v>
      </c>
      <c r="EU106" s="26">
        <v>3.8930779022618178E-3</v>
      </c>
      <c r="EV106" s="26">
        <v>3.8930778880273045E-3</v>
      </c>
      <c r="EW106" s="26">
        <v>3.8930778923870362E-3</v>
      </c>
      <c r="EX106" s="26">
        <v>3.8930778879981511E-3</v>
      </c>
      <c r="EY106" s="26">
        <v>3.8930778900493545E-3</v>
      </c>
      <c r="EZ106" s="26">
        <v>3.8930778934184868E-3</v>
      </c>
      <c r="FA106" s="26">
        <v>3.8930778873821456E-3</v>
      </c>
      <c r="FB106" s="26">
        <v>3.8930778972774221E-3</v>
      </c>
      <c r="FC106" s="26">
        <v>3.8930778975913146E-3</v>
      </c>
      <c r="FD106" s="26">
        <v>3.8930778883596267E-3</v>
      </c>
      <c r="FE106" s="26">
        <v>3.8930778934910819E-3</v>
      </c>
      <c r="FF106" s="26">
        <v>3.8930778912374779E-3</v>
      </c>
      <c r="FG106" s="26">
        <v>3.8930778937725286E-3</v>
      </c>
      <c r="FH106" s="26">
        <v>3.8930778890156159E-3</v>
      </c>
      <c r="FI106" s="26"/>
      <c r="FJ106" s="26">
        <v>3.893077889395791E-3</v>
      </c>
      <c r="FK106" s="26">
        <v>3.893077889742557E-3</v>
      </c>
    </row>
    <row r="107" spans="3:167" x14ac:dyDescent="0.2">
      <c r="C107" s="10">
        <f t="shared" si="33"/>
        <v>2.369305658514907E-3</v>
      </c>
      <c r="D107" s="10">
        <f t="shared" si="34"/>
        <v>1.9674937619681778E-2</v>
      </c>
      <c r="E107" s="10" cm="1">
        <f t="array" ref="E107">gavg(AF107,EL107)</f>
        <v>7.9969966076014615E-3</v>
      </c>
      <c r="F107" s="10" cm="1">
        <f t="array" ref="F107">lnstdev(AF107,EL107)</f>
        <v>0.48774914496261312</v>
      </c>
      <c r="G107" s="10">
        <f t="shared" si="35"/>
        <v>73</v>
      </c>
      <c r="H107" s="10">
        <f t="shared" si="36"/>
        <v>7.4428904399396235E-3</v>
      </c>
      <c r="I107" s="10">
        <f t="shared" si="37"/>
        <v>9.0366063693267384E-3</v>
      </c>
      <c r="J107" s="10"/>
      <c r="K107" s="10"/>
      <c r="L107" s="10">
        <f t="shared" si="38"/>
        <v>4</v>
      </c>
      <c r="M107" s="10">
        <f t="shared" si="39"/>
        <v>2.9632587015489009E-3</v>
      </c>
      <c r="N107" s="10">
        <f t="shared" si="40"/>
        <v>1.5615856962144613E-2</v>
      </c>
      <c r="O107" s="10">
        <f t="shared" si="41"/>
        <v>10</v>
      </c>
      <c r="P107" s="10">
        <f t="shared" si="42"/>
        <v>4.3651055756374702E-3</v>
      </c>
      <c r="Q107" s="10">
        <f t="shared" si="43"/>
        <v>1.053465059062641E-2</v>
      </c>
      <c r="R107" s="10">
        <f t="shared" si="44"/>
        <v>19</v>
      </c>
      <c r="S107" s="10">
        <f t="shared" si="45"/>
        <v>2.369305658514907E-3</v>
      </c>
      <c r="T107" s="10">
        <f t="shared" si="46"/>
        <v>1.4200757176658937E-2</v>
      </c>
      <c r="U107" s="10">
        <f t="shared" si="47"/>
        <v>27</v>
      </c>
      <c r="V107" s="10">
        <f t="shared" si="24"/>
        <v>4.211307355766419E-3</v>
      </c>
      <c r="W107" s="10">
        <f t="shared" si="25"/>
        <v>1.9674937619681778E-2</v>
      </c>
      <c r="X107" s="10">
        <f t="shared" si="26"/>
        <v>13</v>
      </c>
      <c r="Y107" s="10">
        <f t="shared" si="27"/>
        <v>8.0987527751358382E-3</v>
      </c>
      <c r="Z107" s="10">
        <f t="shared" si="28"/>
        <v>8.0987527751358382E-3</v>
      </c>
      <c r="AA107" s="10">
        <f t="shared" si="29"/>
        <v>1</v>
      </c>
      <c r="AB107" s="10">
        <f t="shared" si="30"/>
        <v>4.211307355766419E-3</v>
      </c>
      <c r="AC107" s="10">
        <f t="shared" si="31"/>
        <v>1.9674937619681778E-2</v>
      </c>
      <c r="AD107" s="10">
        <f t="shared" si="32"/>
        <v>12</v>
      </c>
      <c r="AE107" s="5" t="s">
        <v>299</v>
      </c>
      <c r="AF107" s="26"/>
      <c r="AG107" s="26"/>
      <c r="AH107" s="26"/>
      <c r="AI107" s="26"/>
      <c r="AJ107" s="26"/>
      <c r="AK107" s="26"/>
      <c r="AL107" s="26">
        <v>7.4428904399396235E-3</v>
      </c>
      <c r="AM107" s="26">
        <v>8.012894599640814E-3</v>
      </c>
      <c r="AN107" s="26">
        <v>8.5065696922419758E-3</v>
      </c>
      <c r="AO107" s="26">
        <v>9.0366063693267384E-3</v>
      </c>
      <c r="AP107" s="26">
        <v>2.9632587015489009E-3</v>
      </c>
      <c r="AQ107" s="26">
        <v>4.1493467139350334E-3</v>
      </c>
      <c r="AR107" s="26">
        <v>5.9326517274453901E-3</v>
      </c>
      <c r="AS107" s="26">
        <v>7.5058967996163876E-3</v>
      </c>
      <c r="AT107" s="26">
        <v>8.9327323005535929E-3</v>
      </c>
      <c r="AU107" s="26"/>
      <c r="AV107" s="26">
        <v>1.1189550570792937E-2</v>
      </c>
      <c r="AW107" s="26"/>
      <c r="AX107" s="26"/>
      <c r="AY107" s="26"/>
      <c r="AZ107" s="26"/>
      <c r="BA107" s="26"/>
      <c r="BB107" s="26">
        <v>1.5615856962144613E-2</v>
      </c>
      <c r="BC107" s="26"/>
      <c r="BD107" s="26"/>
      <c r="BE107" s="26"/>
      <c r="BF107" s="26"/>
      <c r="BG107" s="26"/>
      <c r="BH107" s="26"/>
      <c r="BI107" s="26">
        <v>3.6170462482760643E-3</v>
      </c>
      <c r="BJ107" s="26">
        <v>5.1072206143773719E-3</v>
      </c>
      <c r="BK107" s="26">
        <v>4.2089838455053024E-3</v>
      </c>
      <c r="BL107" s="26"/>
      <c r="BM107" s="26">
        <v>5.4763639576896027E-3</v>
      </c>
      <c r="BN107" s="26">
        <v>8.1118427705860856E-3</v>
      </c>
      <c r="BO107" s="26"/>
      <c r="BP107" s="26">
        <v>4.3651055756374702E-3</v>
      </c>
      <c r="BQ107" s="26">
        <v>5.1195549706922246E-3</v>
      </c>
      <c r="BR107" s="26">
        <v>5.9473779361733561E-3</v>
      </c>
      <c r="BS107" s="26">
        <v>6.51554488269306E-3</v>
      </c>
      <c r="BT107" s="26">
        <v>7.0299875843062177E-3</v>
      </c>
      <c r="BU107" s="26">
        <v>7.5319367201784919E-3</v>
      </c>
      <c r="BV107" s="26">
        <v>8.0861726599552146E-3</v>
      </c>
      <c r="BW107" s="26">
        <v>8.8782269428514127E-3</v>
      </c>
      <c r="BX107" s="26">
        <v>9.2318575837916847E-3</v>
      </c>
      <c r="BY107" s="26">
        <v>9.4069893657103363E-3</v>
      </c>
      <c r="BZ107" s="26">
        <v>4.4739695214928597E-3</v>
      </c>
      <c r="CA107" s="26">
        <v>7.5465545144570295E-3</v>
      </c>
      <c r="CB107" s="26">
        <v>7.575471195660711E-3</v>
      </c>
      <c r="CC107" s="26">
        <v>9.4663682813768291E-3</v>
      </c>
      <c r="CD107" s="26">
        <v>9.7662401438041949E-3</v>
      </c>
      <c r="CE107" s="26">
        <v>1.0161882512882889E-2</v>
      </c>
      <c r="CF107" s="26">
        <v>1.053465059062641E-2</v>
      </c>
      <c r="CG107" s="26"/>
      <c r="CH107" s="26"/>
      <c r="CI107" s="26"/>
      <c r="CJ107" s="26"/>
      <c r="CK107" s="26"/>
      <c r="CL107" s="26"/>
      <c r="CM107" s="26"/>
      <c r="CN107" s="26"/>
      <c r="CO107" s="26"/>
      <c r="CP107" s="26">
        <v>4.6311816641785202E-3</v>
      </c>
      <c r="CQ107" s="26">
        <v>5.5776363738962251E-3</v>
      </c>
      <c r="CR107" s="26">
        <v>6.4670829828062217E-3</v>
      </c>
      <c r="CS107" s="26">
        <v>7.0613272851377381E-3</v>
      </c>
      <c r="CT107" s="26">
        <v>7.6979755836453266E-3</v>
      </c>
      <c r="CU107" s="26">
        <v>8.386027940386568E-3</v>
      </c>
      <c r="CV107" s="26">
        <v>8.8952662590700993E-3</v>
      </c>
      <c r="CW107" s="26">
        <v>9.1624622812556365E-3</v>
      </c>
      <c r="CX107" s="26">
        <v>9.5310203383064274E-3</v>
      </c>
      <c r="CY107" s="26">
        <v>1.0143764638366764E-2</v>
      </c>
      <c r="CZ107" s="26">
        <v>1.0404097241952126E-2</v>
      </c>
      <c r="DA107" s="26">
        <v>1.081961507958484E-2</v>
      </c>
      <c r="DB107" s="26">
        <v>1.1010430920369412E-2</v>
      </c>
      <c r="DC107" s="26"/>
      <c r="DD107" s="26">
        <v>1.1069926300950588E-2</v>
      </c>
      <c r="DE107" s="26">
        <v>3.7956532219868013E-3</v>
      </c>
      <c r="DF107" s="26"/>
      <c r="DG107" s="26"/>
      <c r="DH107" s="26">
        <v>1.2244338732941827E-2</v>
      </c>
      <c r="DI107" s="26">
        <v>1.2810771280767751E-2</v>
      </c>
      <c r="DJ107" s="26">
        <v>1.3331354216702739E-2</v>
      </c>
      <c r="DK107" s="26">
        <v>1.3817544639238011E-2</v>
      </c>
      <c r="DL107" s="26">
        <v>1.4200757176658937E-2</v>
      </c>
      <c r="DM107" s="26">
        <v>2.369305658514907E-3</v>
      </c>
      <c r="DN107" s="26">
        <v>3.5035118440151858E-3</v>
      </c>
      <c r="DO107" s="26">
        <v>2.8342945026540683E-3</v>
      </c>
      <c r="DP107" s="26">
        <v>4.1465364833477179E-3</v>
      </c>
      <c r="DQ107" s="26">
        <v>3.2842175106732644E-3</v>
      </c>
      <c r="DR107" s="26">
        <v>1.2993808296228334E-2</v>
      </c>
      <c r="DS107" s="26">
        <v>1.3820677108730757E-2</v>
      </c>
      <c r="DT107" s="26"/>
      <c r="DU107" s="26"/>
      <c r="DV107" s="26">
        <v>8.0987527751358382E-3</v>
      </c>
      <c r="DW107" s="26"/>
      <c r="DX107" s="26"/>
      <c r="DY107" s="26">
        <v>4.211307355766419E-3</v>
      </c>
      <c r="DZ107" s="26">
        <v>8.1613867113952132E-3</v>
      </c>
      <c r="EA107" s="26">
        <v>9.6499859800775849E-3</v>
      </c>
      <c r="EB107" s="26">
        <v>1.0800963694881708E-2</v>
      </c>
      <c r="EC107" s="26">
        <v>1.2124294254529511E-2</v>
      </c>
      <c r="ED107" s="26">
        <v>1.3135833375254076E-2</v>
      </c>
      <c r="EE107" s="26">
        <v>1.3898611001330189E-2</v>
      </c>
      <c r="EF107" s="26">
        <v>1.5168439159018521E-2</v>
      </c>
      <c r="EG107" s="26">
        <v>1.6653031613101173E-2</v>
      </c>
      <c r="EH107" s="26"/>
      <c r="EI107" s="26">
        <v>1.9674937619681778E-2</v>
      </c>
      <c r="EJ107" s="26">
        <v>1.9661804570504877E-2</v>
      </c>
      <c r="EK107" s="26"/>
      <c r="EL107" s="26">
        <v>1.8079922128389665E-2</v>
      </c>
      <c r="EM107" s="26">
        <v>4.3550630745758396E-3</v>
      </c>
      <c r="EN107" s="26">
        <v>8.5039778525019642E-3</v>
      </c>
      <c r="EO107" s="26">
        <v>1.4971097412330939E-2</v>
      </c>
      <c r="EP107" s="26">
        <v>1.7280162653308354E-2</v>
      </c>
      <c r="EQ107" s="26">
        <v>1.9121582106213047E-2</v>
      </c>
      <c r="ER107" s="26">
        <v>4.2433877953604133E-3</v>
      </c>
      <c r="ES107" s="26">
        <v>8.3486056700640618E-3</v>
      </c>
      <c r="ET107" s="26">
        <v>1.4825123015644556E-2</v>
      </c>
      <c r="EU107" s="26">
        <v>1.715956344674965E-2</v>
      </c>
      <c r="EV107" s="26">
        <v>1.9059988236976428E-2</v>
      </c>
      <c r="EW107" s="26">
        <v>4.2248603739227838E-3</v>
      </c>
      <c r="EX107" s="26">
        <v>8.3073365938212979E-3</v>
      </c>
      <c r="EY107" s="26">
        <v>1.4465092006324889E-2</v>
      </c>
      <c r="EZ107" s="26">
        <v>1.6594282319144203E-2</v>
      </c>
      <c r="FA107" s="26">
        <v>1.7308157692336693E-2</v>
      </c>
      <c r="FB107" s="26">
        <v>4.2164765103784585E-3</v>
      </c>
      <c r="FC107" s="26">
        <v>8.1908639598165731E-3</v>
      </c>
      <c r="FD107" s="26">
        <v>1.4163530731773528E-2</v>
      </c>
      <c r="FE107" s="26">
        <v>1.5998425968005454E-2</v>
      </c>
      <c r="FF107" s="26">
        <v>1.73775177951998E-2</v>
      </c>
      <c r="FG107" s="26">
        <v>4.2207992257960961E-3</v>
      </c>
      <c r="FH107" s="26">
        <v>8.1037436066504851E-3</v>
      </c>
      <c r="FI107" s="26"/>
      <c r="FJ107" s="26">
        <v>1.6049943821514926E-2</v>
      </c>
      <c r="FK107" s="26">
        <v>1.9627204231601695E-2</v>
      </c>
    </row>
    <row r="108" spans="3:167" x14ac:dyDescent="0.2">
      <c r="C108" s="10">
        <f t="shared" si="33"/>
        <v>7.3611442375323809E-3</v>
      </c>
      <c r="D108" s="10">
        <f t="shared" si="34"/>
        <v>9.7766217058401869E-2</v>
      </c>
      <c r="E108" s="10" cm="1">
        <f t="array" ref="E108">gavg(AF108,EL108)</f>
        <v>5.2977268675031434E-2</v>
      </c>
      <c r="F108" s="10" cm="1">
        <f t="array" ref="F108">lnstdev(AF108,EL108)</f>
        <v>0.50488178029354469</v>
      </c>
      <c r="G108" s="10">
        <f t="shared" si="35"/>
        <v>73</v>
      </c>
      <c r="H108" s="10">
        <f t="shared" si="36"/>
        <v>3.9378729208722991E-2</v>
      </c>
      <c r="I108" s="10">
        <f t="shared" si="37"/>
        <v>8.7961764939928064E-2</v>
      </c>
      <c r="J108" s="10"/>
      <c r="K108" s="10"/>
      <c r="L108" s="10">
        <f t="shared" si="38"/>
        <v>4</v>
      </c>
      <c r="M108" s="10">
        <f t="shared" si="39"/>
        <v>1.4392232051287623E-2</v>
      </c>
      <c r="N108" s="10">
        <f t="shared" si="40"/>
        <v>9.2210546927829679E-2</v>
      </c>
      <c r="O108" s="10">
        <f t="shared" si="41"/>
        <v>10</v>
      </c>
      <c r="P108" s="10">
        <f t="shared" si="42"/>
        <v>2.1488405051508393E-2</v>
      </c>
      <c r="Q108" s="10">
        <f t="shared" si="43"/>
        <v>8.7501666903431669E-2</v>
      </c>
      <c r="R108" s="10">
        <f t="shared" si="44"/>
        <v>19</v>
      </c>
      <c r="S108" s="10">
        <f t="shared" si="45"/>
        <v>2.0904421034430822E-2</v>
      </c>
      <c r="T108" s="10">
        <f t="shared" si="46"/>
        <v>9.7766217058401869E-2</v>
      </c>
      <c r="U108" s="10">
        <f t="shared" si="47"/>
        <v>27</v>
      </c>
      <c r="V108" s="10">
        <f t="shared" si="24"/>
        <v>7.3611442375323809E-3</v>
      </c>
      <c r="W108" s="10">
        <f t="shared" si="25"/>
        <v>9.6173840146222433E-2</v>
      </c>
      <c r="X108" s="10">
        <f t="shared" si="26"/>
        <v>13</v>
      </c>
      <c r="Y108" s="10">
        <f t="shared" si="27"/>
        <v>3.4701885708545627E-2</v>
      </c>
      <c r="Z108" s="10">
        <f t="shared" si="28"/>
        <v>3.4701885708545627E-2</v>
      </c>
      <c r="AA108" s="10">
        <f t="shared" si="29"/>
        <v>1</v>
      </c>
      <c r="AB108" s="10">
        <f t="shared" si="30"/>
        <v>7.3611442375323809E-3</v>
      </c>
      <c r="AC108" s="10">
        <f t="shared" si="31"/>
        <v>9.6173840146222433E-2</v>
      </c>
      <c r="AD108" s="10">
        <f t="shared" si="32"/>
        <v>12</v>
      </c>
      <c r="AE108" s="5" t="s">
        <v>322</v>
      </c>
      <c r="AF108" s="26"/>
      <c r="AG108" s="26"/>
      <c r="AH108" s="26"/>
      <c r="AI108" s="26"/>
      <c r="AJ108" s="26"/>
      <c r="AK108" s="26"/>
      <c r="AL108" s="26">
        <v>8.7961764939928064E-2</v>
      </c>
      <c r="AM108" s="26">
        <v>8.5104610660634725E-2</v>
      </c>
      <c r="AN108" s="26">
        <v>7.4427376085370658E-2</v>
      </c>
      <c r="AO108" s="26">
        <v>3.9378729208722991E-2</v>
      </c>
      <c r="AP108" s="26">
        <v>1.4392232051287623E-2</v>
      </c>
      <c r="AQ108" s="26">
        <v>2.4172187650910226E-2</v>
      </c>
      <c r="AR108" s="26">
        <v>9.2210546927829679E-2</v>
      </c>
      <c r="AS108" s="26">
        <v>6.4001701116943643E-2</v>
      </c>
      <c r="AT108" s="26">
        <v>8.2784316886471948E-2</v>
      </c>
      <c r="AU108" s="26"/>
      <c r="AV108" s="26">
        <v>8.4808240598231471E-2</v>
      </c>
      <c r="AW108" s="26"/>
      <c r="AX108" s="26"/>
      <c r="AY108" s="26"/>
      <c r="AZ108" s="26"/>
      <c r="BA108" s="26"/>
      <c r="BB108" s="26">
        <v>7.3798334780909872E-2</v>
      </c>
      <c r="BC108" s="26"/>
      <c r="BD108" s="26"/>
      <c r="BE108" s="26"/>
      <c r="BF108" s="26"/>
      <c r="BG108" s="26"/>
      <c r="BH108" s="26"/>
      <c r="BI108" s="26">
        <v>1.5940907564513371E-2</v>
      </c>
      <c r="BJ108" s="26">
        <v>3.5270871566977578E-2</v>
      </c>
      <c r="BK108" s="26">
        <v>2.8509755247130571E-2</v>
      </c>
      <c r="BL108" s="26"/>
      <c r="BM108" s="26">
        <v>4.6853564507019947E-2</v>
      </c>
      <c r="BN108" s="26">
        <v>6.8110864550080599E-2</v>
      </c>
      <c r="BO108" s="26"/>
      <c r="BP108" s="26">
        <v>2.1488405051508393E-2</v>
      </c>
      <c r="BQ108" s="26">
        <v>3.1048324645168823E-2</v>
      </c>
      <c r="BR108" s="26">
        <v>3.8555378419901649E-2</v>
      </c>
      <c r="BS108" s="26">
        <v>5.3872203639017194E-2</v>
      </c>
      <c r="BT108" s="26">
        <v>6.6044804160853898E-2</v>
      </c>
      <c r="BU108" s="26">
        <v>6.8237712990611404E-2</v>
      </c>
      <c r="BV108" s="26">
        <v>6.6551964228173111E-2</v>
      </c>
      <c r="BW108" s="26">
        <v>6.7762351100982429E-2</v>
      </c>
      <c r="BX108" s="26">
        <v>7.8986671191811186E-2</v>
      </c>
      <c r="BY108" s="26">
        <v>8.4386209320913563E-2</v>
      </c>
      <c r="BZ108" s="26">
        <v>3.7819627836849154E-2</v>
      </c>
      <c r="CA108" s="26">
        <v>6.1377704783325264E-2</v>
      </c>
      <c r="CB108" s="26">
        <v>5.7940318497491594E-2</v>
      </c>
      <c r="CC108" s="26">
        <v>8.4038381126712469E-2</v>
      </c>
      <c r="CD108" s="26">
        <v>8.7501666903431669E-2</v>
      </c>
      <c r="CE108" s="26">
        <v>7.9839734111066402E-2</v>
      </c>
      <c r="CF108" s="26">
        <v>8.0748563737711304E-2</v>
      </c>
      <c r="CG108" s="26"/>
      <c r="CH108" s="26"/>
      <c r="CI108" s="26"/>
      <c r="CJ108" s="26"/>
      <c r="CK108" s="26"/>
      <c r="CL108" s="26"/>
      <c r="CM108" s="26"/>
      <c r="CN108" s="26"/>
      <c r="CO108" s="26"/>
      <c r="CP108" s="26">
        <v>4.3297773300129433E-2</v>
      </c>
      <c r="CQ108" s="26">
        <v>6.6130935534151197E-2</v>
      </c>
      <c r="CR108" s="26">
        <v>5.516615427845397E-2</v>
      </c>
      <c r="CS108" s="26">
        <v>5.5292401122578612E-2</v>
      </c>
      <c r="CT108" s="26">
        <v>7.7044127909613444E-2</v>
      </c>
      <c r="CU108" s="26">
        <v>5.2035834128258053E-2</v>
      </c>
      <c r="CV108" s="26">
        <v>8.2027492863262649E-2</v>
      </c>
      <c r="CW108" s="26">
        <v>4.1431568350316243E-2</v>
      </c>
      <c r="CX108" s="26">
        <v>4.7670011131603483E-2</v>
      </c>
      <c r="CY108" s="26">
        <v>4.8053553703230112E-2</v>
      </c>
      <c r="CZ108" s="26">
        <v>5.2725101805122271E-2</v>
      </c>
      <c r="DA108" s="26">
        <v>4.5040894194394769E-2</v>
      </c>
      <c r="DB108" s="26">
        <v>5.7225214625532983E-2</v>
      </c>
      <c r="DC108" s="26"/>
      <c r="DD108" s="26">
        <v>7.0584990533444941E-2</v>
      </c>
      <c r="DE108" s="26">
        <v>3.6970116012211722E-2</v>
      </c>
      <c r="DF108" s="26"/>
      <c r="DG108" s="26"/>
      <c r="DH108" s="26">
        <v>5.7970734248348962E-2</v>
      </c>
      <c r="DI108" s="26">
        <v>6.0315122890437042E-2</v>
      </c>
      <c r="DJ108" s="26">
        <v>6.677730487031408E-2</v>
      </c>
      <c r="DK108" s="26">
        <v>6.2178225286365837E-2</v>
      </c>
      <c r="DL108" s="26">
        <v>8.100283574510396E-2</v>
      </c>
      <c r="DM108" s="26">
        <v>2.0904421034430822E-2</v>
      </c>
      <c r="DN108" s="26">
        <v>3.3069259318991823E-2</v>
      </c>
      <c r="DO108" s="26">
        <v>3.1914094541075633E-2</v>
      </c>
      <c r="DP108" s="26">
        <v>2.8637400407671883E-2</v>
      </c>
      <c r="DQ108" s="26">
        <v>3.8282692468812898E-2</v>
      </c>
      <c r="DR108" s="26">
        <v>9.7766217058401869E-2</v>
      </c>
      <c r="DS108" s="26">
        <v>9.426627203685034E-2</v>
      </c>
      <c r="DT108" s="26"/>
      <c r="DU108" s="26"/>
      <c r="DV108" s="26">
        <v>3.4701885708545627E-2</v>
      </c>
      <c r="DW108" s="26"/>
      <c r="DX108" s="26"/>
      <c r="DY108" s="26">
        <v>7.3611442375323809E-3</v>
      </c>
      <c r="DZ108" s="26">
        <v>2.6091740046309493E-2</v>
      </c>
      <c r="EA108" s="26">
        <v>3.778811234889904E-2</v>
      </c>
      <c r="EB108" s="26">
        <v>5.4753313669653358E-2</v>
      </c>
      <c r="EC108" s="26">
        <v>8.5520650363639317E-2</v>
      </c>
      <c r="ED108" s="26">
        <v>7.6785584231706686E-2</v>
      </c>
      <c r="EE108" s="26">
        <v>8.2128328687384108E-2</v>
      </c>
      <c r="EF108" s="26">
        <v>6.8312466799255123E-2</v>
      </c>
      <c r="EG108" s="26">
        <v>8.6732767769770749E-2</v>
      </c>
      <c r="EH108" s="26"/>
      <c r="EI108" s="26">
        <v>5.9843868532745814E-2</v>
      </c>
      <c r="EJ108" s="26">
        <v>7.8612789245365633E-2</v>
      </c>
      <c r="EK108" s="26"/>
      <c r="EL108" s="26">
        <v>9.6173840146222433E-2</v>
      </c>
      <c r="EM108" s="26">
        <v>3.9443427084666178E-3</v>
      </c>
      <c r="EN108" s="26">
        <v>5.8881694298175708E-3</v>
      </c>
      <c r="EO108" s="26">
        <v>6.8907983292979631E-3</v>
      </c>
      <c r="EP108" s="26">
        <v>7.1242219372476987E-3</v>
      </c>
      <c r="EQ108" s="26">
        <v>7.9768407715871056E-3</v>
      </c>
      <c r="ER108" s="26">
        <v>4.0359921000143167E-3</v>
      </c>
      <c r="ES108" s="26">
        <v>5.8823317745507319E-3</v>
      </c>
      <c r="ET108" s="26">
        <v>1.1606935080786411E-2</v>
      </c>
      <c r="EU108" s="26">
        <v>7.5086402236795363E-3</v>
      </c>
      <c r="EV108" s="26">
        <v>8.4755092897216121E-3</v>
      </c>
      <c r="EW108" s="26">
        <v>3.7624669874054386E-3</v>
      </c>
      <c r="EX108" s="26">
        <v>5.7492501453114755E-3</v>
      </c>
      <c r="EY108" s="26">
        <v>1.7392702002179451E-2</v>
      </c>
      <c r="EZ108" s="26">
        <v>1.6867597690092096E-2</v>
      </c>
      <c r="FA108" s="26">
        <v>2.4859029723633165E-2</v>
      </c>
      <c r="FB108" s="26">
        <v>3.8064090596446397E-3</v>
      </c>
      <c r="FC108" s="26">
        <v>1.6620902590588328E-2</v>
      </c>
      <c r="FD108" s="26">
        <v>4.9951069683901818E-2</v>
      </c>
      <c r="FE108" s="26">
        <v>7.0260301793056951E-2</v>
      </c>
      <c r="FF108" s="26">
        <v>7.5973531349312534E-2</v>
      </c>
      <c r="FG108" s="26">
        <v>5.6050016587178069E-3</v>
      </c>
      <c r="FH108" s="26">
        <v>1.7519129844226489E-2</v>
      </c>
      <c r="FI108" s="26"/>
      <c r="FJ108" s="26">
        <v>8.9835484183440784E-2</v>
      </c>
      <c r="FK108" s="26">
        <v>9.6923918951563506E-2</v>
      </c>
    </row>
    <row r="109" spans="3:167" x14ac:dyDescent="0.2">
      <c r="C109" s="10">
        <f t="shared" si="33"/>
        <v>1.1150950006033611E-4</v>
      </c>
      <c r="D109" s="10">
        <f t="shared" si="34"/>
        <v>2.0844774543408411</v>
      </c>
      <c r="E109" s="10" cm="1">
        <f t="array" ref="E109">gavg(AF109,EL109)</f>
        <v>0.14996010888296232</v>
      </c>
      <c r="F109" s="10" cm="1">
        <f t="array" ref="F109">lnstdev(AF109,EL109)</f>
        <v>2.0939674441827005</v>
      </c>
      <c r="G109" s="10">
        <f t="shared" si="35"/>
        <v>73</v>
      </c>
      <c r="H109" s="10">
        <f t="shared" si="36"/>
        <v>1.9399669151682883</v>
      </c>
      <c r="I109" s="10">
        <f t="shared" si="37"/>
        <v>2.0844774543408411</v>
      </c>
      <c r="J109" s="10"/>
      <c r="K109" s="10"/>
      <c r="L109" s="10">
        <f t="shared" si="38"/>
        <v>4</v>
      </c>
      <c r="M109" s="10">
        <f t="shared" si="39"/>
        <v>1.1150950006033611E-4</v>
      </c>
      <c r="N109" s="10">
        <f t="shared" si="40"/>
        <v>0.21262535774716373</v>
      </c>
      <c r="O109" s="10">
        <f t="shared" si="41"/>
        <v>10</v>
      </c>
      <c r="P109" s="10">
        <f t="shared" si="42"/>
        <v>1.7192565365107715E-2</v>
      </c>
      <c r="Q109" s="10">
        <f t="shared" si="43"/>
        <v>0.47808639195411762</v>
      </c>
      <c r="R109" s="10">
        <f t="shared" si="44"/>
        <v>19</v>
      </c>
      <c r="S109" s="10">
        <f t="shared" si="45"/>
        <v>7.1183778361391115E-2</v>
      </c>
      <c r="T109" s="10">
        <f t="shared" si="46"/>
        <v>1.9131176658589277</v>
      </c>
      <c r="U109" s="10">
        <f t="shared" si="47"/>
        <v>27</v>
      </c>
      <c r="V109" s="10">
        <f t="shared" si="24"/>
        <v>1.8615464102569979E-2</v>
      </c>
      <c r="W109" s="10">
        <f t="shared" si="25"/>
        <v>0.63333216651548674</v>
      </c>
      <c r="X109" s="10">
        <f t="shared" si="26"/>
        <v>13</v>
      </c>
      <c r="Y109" s="10">
        <f t="shared" si="27"/>
        <v>0.11528285917730674</v>
      </c>
      <c r="Z109" s="10">
        <f t="shared" si="28"/>
        <v>0.11528285917730674</v>
      </c>
      <c r="AA109" s="10">
        <f t="shared" si="29"/>
        <v>1</v>
      </c>
      <c r="AB109" s="10">
        <f t="shared" si="30"/>
        <v>1.8615464102569979E-2</v>
      </c>
      <c r="AC109" s="10">
        <f t="shared" si="31"/>
        <v>0.63333216651548674</v>
      </c>
      <c r="AD109" s="10">
        <f t="shared" si="32"/>
        <v>12</v>
      </c>
      <c r="AE109" s="5" t="s">
        <v>309</v>
      </c>
      <c r="AF109" s="27"/>
      <c r="AG109" s="27"/>
      <c r="AH109" s="27"/>
      <c r="AI109" s="27"/>
      <c r="AJ109" s="27"/>
      <c r="AK109" s="27"/>
      <c r="AL109" s="27">
        <v>2.0844774543408411</v>
      </c>
      <c r="AM109" s="27">
        <v>2.0269895828109559</v>
      </c>
      <c r="AN109" s="27">
        <v>1.992064855052893</v>
      </c>
      <c r="AO109" s="27">
        <v>1.9399669151682883</v>
      </c>
      <c r="AP109" s="27">
        <v>7.9291604351576783E-3</v>
      </c>
      <c r="AQ109" s="27">
        <v>2.9325115807332658E-3</v>
      </c>
      <c r="AR109" s="27">
        <v>8.5578398532559774E-4</v>
      </c>
      <c r="AS109" s="27">
        <v>2.9210263665249148E-3</v>
      </c>
      <c r="AT109" s="27">
        <v>2.9030608834381688E-3</v>
      </c>
      <c r="AU109" s="27"/>
      <c r="AV109" s="27">
        <v>8.9944264216392344E-2</v>
      </c>
      <c r="AW109" s="27"/>
      <c r="AX109" s="27"/>
      <c r="AY109" s="27"/>
      <c r="AZ109" s="27"/>
      <c r="BA109" s="27"/>
      <c r="BB109" s="27">
        <v>0.21262535774716373</v>
      </c>
      <c r="BC109" s="27"/>
      <c r="BD109" s="27"/>
      <c r="BE109" s="27"/>
      <c r="BF109" s="27"/>
      <c r="BG109" s="27"/>
      <c r="BH109" s="27"/>
      <c r="BI109" s="27">
        <v>1.1150950006033611E-4</v>
      </c>
      <c r="BJ109" s="27">
        <v>5.0124766908399288E-4</v>
      </c>
      <c r="BK109" s="27">
        <v>2.1503504823150443E-4</v>
      </c>
      <c r="BL109" s="27"/>
      <c r="BM109" s="27">
        <v>0.22240348654487585</v>
      </c>
      <c r="BN109" s="27">
        <v>0.47808639195411762</v>
      </c>
      <c r="BO109" s="27"/>
      <c r="BP109" s="27">
        <v>1.7192565365107715E-2</v>
      </c>
      <c r="BQ109" s="27">
        <v>4.874854422068875E-2</v>
      </c>
      <c r="BR109" s="27">
        <v>4.6288011505090543E-2</v>
      </c>
      <c r="BS109" s="27">
        <v>0.11399079086828801</v>
      </c>
      <c r="BT109" s="27">
        <v>0.17344238984453964</v>
      </c>
      <c r="BU109" s="27">
        <v>0.22004481459080849</v>
      </c>
      <c r="BV109" s="27">
        <v>0.24657599212340298</v>
      </c>
      <c r="BW109" s="27">
        <v>0.32419643631310069</v>
      </c>
      <c r="BX109" s="27">
        <v>0.36249043852097906</v>
      </c>
      <c r="BY109" s="27">
        <v>0.40348172392607373</v>
      </c>
      <c r="BZ109" s="27">
        <v>1.7214397748970489E-2</v>
      </c>
      <c r="CA109" s="27">
        <v>0.24496829123051489</v>
      </c>
      <c r="CB109" s="27">
        <v>0.2016560061696393</v>
      </c>
      <c r="CC109" s="27">
        <v>0.38920258242156458</v>
      </c>
      <c r="CD109" s="27">
        <v>0.41965782989447842</v>
      </c>
      <c r="CE109" s="27">
        <v>0.44039376544814912</v>
      </c>
      <c r="CF109" s="27">
        <v>0.45411671408564325</v>
      </c>
      <c r="CG109" s="27"/>
      <c r="CH109" s="27"/>
      <c r="CI109" s="27"/>
      <c r="CJ109" s="27"/>
      <c r="CK109" s="27"/>
      <c r="CL109" s="27"/>
      <c r="CM109" s="27"/>
      <c r="CN109" s="27"/>
      <c r="CO109" s="27"/>
      <c r="CP109" s="27">
        <v>0.1030879083462497</v>
      </c>
      <c r="CQ109" s="27">
        <v>0.1514222742239073</v>
      </c>
      <c r="CR109" s="27">
        <v>0.18560346798447291</v>
      </c>
      <c r="CS109" s="27">
        <v>0.26943459773799994</v>
      </c>
      <c r="CT109" s="27">
        <v>0.316386470026917</v>
      </c>
      <c r="CU109" s="27">
        <v>0.3489368919375937</v>
      </c>
      <c r="CV109" s="27">
        <v>0.39278915683070847</v>
      </c>
      <c r="CW109" s="27">
        <v>0.45292008859096167</v>
      </c>
      <c r="CX109" s="27">
        <v>0.48734899869586079</v>
      </c>
      <c r="CY109" s="27">
        <v>0.50474706819277593</v>
      </c>
      <c r="CZ109" s="27">
        <v>0.5353850288057056</v>
      </c>
      <c r="DA109" s="27">
        <v>0.55339644388546971</v>
      </c>
      <c r="DB109" s="27">
        <v>0.5778344657266985</v>
      </c>
      <c r="DC109" s="27"/>
      <c r="DD109" s="27">
        <v>0.51167091586941726</v>
      </c>
      <c r="DE109" s="27">
        <v>0.12390232242534971</v>
      </c>
      <c r="DF109" s="27"/>
      <c r="DG109" s="27"/>
      <c r="DH109" s="27">
        <v>0.92669970082511721</v>
      </c>
      <c r="DI109" s="27">
        <v>0.90794310833460656</v>
      </c>
      <c r="DJ109" s="27">
        <v>0.89243778384835304</v>
      </c>
      <c r="DK109" s="27">
        <v>0.87817616008964006</v>
      </c>
      <c r="DL109" s="27">
        <v>0.86385547243498473</v>
      </c>
      <c r="DM109" s="27">
        <v>7.1800325055337844E-2</v>
      </c>
      <c r="DN109" s="27">
        <v>7.1183778361391115E-2</v>
      </c>
      <c r="DO109" s="27">
        <v>7.7994891495004159E-2</v>
      </c>
      <c r="DP109" s="27">
        <v>9.4871823300419544E-2</v>
      </c>
      <c r="DQ109" s="27">
        <v>7.6944739457417866E-2</v>
      </c>
      <c r="DR109" s="27">
        <v>1.9131176658589277</v>
      </c>
      <c r="DS109" s="27">
        <v>1.7143072570767419</v>
      </c>
      <c r="DT109" s="27"/>
      <c r="DU109" s="27"/>
      <c r="DV109" s="27">
        <v>0.11528285917730674</v>
      </c>
      <c r="DW109" s="27"/>
      <c r="DX109" s="27"/>
      <c r="DY109" s="27">
        <v>1.8615464102569979E-2</v>
      </c>
      <c r="DZ109" s="27">
        <v>6.670557764363827E-2</v>
      </c>
      <c r="EA109" s="27">
        <v>8.980378762390484E-2</v>
      </c>
      <c r="EB109" s="27">
        <v>0.15162805741340057</v>
      </c>
      <c r="EC109" s="27">
        <v>0.18038617597698869</v>
      </c>
      <c r="ED109" s="27">
        <v>0.22572875217865351</v>
      </c>
      <c r="EE109" s="27">
        <v>0.28044342328874716</v>
      </c>
      <c r="EF109" s="27">
        <v>0.28758640830080529</v>
      </c>
      <c r="EG109" s="27">
        <v>0.58052263685886607</v>
      </c>
      <c r="EH109" s="27"/>
      <c r="EI109" s="27">
        <v>0.62052670634615659</v>
      </c>
      <c r="EJ109" s="27">
        <v>0.63333216651548674</v>
      </c>
      <c r="EK109" s="27"/>
      <c r="EL109" s="27">
        <v>0.58504599104328703</v>
      </c>
      <c r="EM109" s="27">
        <v>1.4077265034486475E-2</v>
      </c>
      <c r="EN109" s="27">
        <v>5.3901294436300873E-2</v>
      </c>
      <c r="EO109" s="27">
        <v>0.22989918524697761</v>
      </c>
      <c r="EP109" s="27">
        <v>0.31285791795746154</v>
      </c>
      <c r="EQ109" s="27">
        <v>0.38149678358638384</v>
      </c>
      <c r="ER109" s="27">
        <v>9.5004849779782852E-3</v>
      </c>
      <c r="ES109" s="27">
        <v>4.5791260423827085E-2</v>
      </c>
      <c r="ET109" s="27">
        <v>0.21482402161209091</v>
      </c>
      <c r="EU109" s="27">
        <v>0.2994400052881161</v>
      </c>
      <c r="EV109" s="27">
        <v>0.36847816800788613</v>
      </c>
      <c r="EW109" s="27">
        <v>9.3064631809514076E-3</v>
      </c>
      <c r="EX109" s="27">
        <v>4.6848182475917266E-2</v>
      </c>
      <c r="EY109" s="27">
        <v>0.24569307835907406</v>
      </c>
      <c r="EZ109" s="27">
        <v>0.33256237533010236</v>
      </c>
      <c r="FA109" s="27">
        <v>0.44012395534886095</v>
      </c>
      <c r="FB109" s="27">
        <v>8.7011024398970793E-3</v>
      </c>
      <c r="FC109" s="27">
        <v>7.0363482703176938E-2</v>
      </c>
      <c r="FD109" s="27">
        <v>0.26352112242847925</v>
      </c>
      <c r="FE109" s="27">
        <v>0.36067485528983045</v>
      </c>
      <c r="FF109" s="27">
        <v>0.4352365764409778</v>
      </c>
      <c r="FG109" s="27">
        <v>1.1730817511347746E-2</v>
      </c>
      <c r="FH109" s="27">
        <v>9.4720022011201888E-2</v>
      </c>
      <c r="FI109" s="27"/>
      <c r="FJ109" s="27">
        <v>0.36148230363238087</v>
      </c>
      <c r="FK109" s="27">
        <v>0.63124618343603922</v>
      </c>
    </row>
    <row r="110" spans="3:167" x14ac:dyDescent="0.2">
      <c r="C110" s="10">
        <f t="shared" ref="C110" si="48">MIN(AF110:EL110)</f>
        <v>2.0474107518297036E-2</v>
      </c>
      <c r="D110" s="10">
        <f t="shared" ref="D110" si="49">MAX(AF110:EL110)</f>
        <v>13.665707444676716</v>
      </c>
      <c r="E110" s="10" cm="1">
        <f t="array" ref="E110">gavg(AF110,EL110)</f>
        <v>2.0986002896186555</v>
      </c>
      <c r="F110" s="10" cm="1">
        <f t="array" ref="F110">lnstdev(AF110,EL110)</f>
        <v>1.3294917725923698</v>
      </c>
      <c r="G110" s="10">
        <f t="shared" ref="G110" si="50">COUNT(AF110:EL110)</f>
        <v>73</v>
      </c>
      <c r="H110" s="10">
        <f t="shared" ref="H110" si="51">MIN(AF110:AO110)</f>
        <v>12.89935278688362</v>
      </c>
      <c r="I110" s="10">
        <f t="shared" ref="I110" si="52">MAX(AF110:AO110)</f>
        <v>13.665707444676716</v>
      </c>
      <c r="J110" s="10"/>
      <c r="K110" s="10"/>
      <c r="L110" s="10">
        <f t="shared" ref="L110" si="53">COUNT(AF110:AO110)</f>
        <v>4</v>
      </c>
      <c r="M110" s="10">
        <f t="shared" ref="M110" si="54">MIN(AP110:BL110)</f>
        <v>2.0474107518297036E-2</v>
      </c>
      <c r="N110" s="10">
        <f t="shared" ref="N110" si="55">MAX(AP110:BL110)</f>
        <v>8.3946785457822806</v>
      </c>
      <c r="O110" s="10">
        <f t="shared" ref="O110" si="56">COUNT(AP110:BL110)</f>
        <v>10</v>
      </c>
      <c r="P110" s="10">
        <f t="shared" ref="P110" si="57">MIN(BM110:CO110)</f>
        <v>1.0099148370880666</v>
      </c>
      <c r="Q110" s="10">
        <f t="shared" ref="Q110" si="58">MAX(BM110:CO110)</f>
        <v>9.2392464084775803</v>
      </c>
      <c r="R110" s="10">
        <f t="shared" ref="R110" si="59">COUNT(BM110:CO110)</f>
        <v>19</v>
      </c>
      <c r="S110" s="10">
        <f t="shared" ref="S110" si="60">MIN(CP110:DT110)</f>
        <v>0.6103989182256131</v>
      </c>
      <c r="T110" s="10">
        <f t="shared" ref="T110" si="61">MAX(CP110:DT110)</f>
        <v>8.0502430067072908</v>
      </c>
      <c r="U110" s="10">
        <f t="shared" ref="U110" si="62">COUNT(CP110:DT110)</f>
        <v>27</v>
      </c>
      <c r="V110" s="10">
        <f t="shared" si="24"/>
        <v>0.18579696256223466</v>
      </c>
      <c r="W110" s="10">
        <f t="shared" si="25"/>
        <v>3.3616842497286221</v>
      </c>
      <c r="X110" s="10">
        <f t="shared" si="26"/>
        <v>13</v>
      </c>
      <c r="Y110" s="10">
        <f t="shared" si="27"/>
        <v>0.90668460654231198</v>
      </c>
      <c r="Z110" s="10">
        <f t="shared" si="28"/>
        <v>0.90668460654231198</v>
      </c>
      <c r="AA110" s="10">
        <f t="shared" si="29"/>
        <v>1</v>
      </c>
      <c r="AB110" s="10">
        <f t="shared" si="30"/>
        <v>0.18579696256223466</v>
      </c>
      <c r="AC110" s="10">
        <f t="shared" si="31"/>
        <v>3.3616842497286221</v>
      </c>
      <c r="AD110" s="10">
        <f t="shared" si="32"/>
        <v>12</v>
      </c>
      <c r="AE110" s="5" t="s">
        <v>657</v>
      </c>
      <c r="AF110" s="27"/>
      <c r="AG110" s="27"/>
      <c r="AH110" s="27"/>
      <c r="AI110" s="27"/>
      <c r="AJ110" s="27"/>
      <c r="AK110" s="27"/>
      <c r="AL110" s="27">
        <v>13.665707444676716</v>
      </c>
      <c r="AM110" s="27">
        <v>13.361361907257374</v>
      </c>
      <c r="AN110" s="27">
        <v>13.176139390043852</v>
      </c>
      <c r="AO110" s="27">
        <v>12.89935278688362</v>
      </c>
      <c r="AP110" s="27">
        <v>0.98822269522110084</v>
      </c>
      <c r="AQ110" s="27">
        <v>0.44548513401764422</v>
      </c>
      <c r="AR110" s="27">
        <v>0.14786492502509607</v>
      </c>
      <c r="AS110" s="27">
        <v>0.44400633520568156</v>
      </c>
      <c r="AT110" s="27">
        <v>0.441690150002507</v>
      </c>
      <c r="AU110" s="27"/>
      <c r="AV110" s="27">
        <v>4.9888111469550065</v>
      </c>
      <c r="AW110" s="27"/>
      <c r="AX110" s="27"/>
      <c r="AY110" s="27"/>
      <c r="AZ110" s="27"/>
      <c r="BA110" s="27"/>
      <c r="BB110" s="27">
        <v>8.3946785457822806</v>
      </c>
      <c r="BC110" s="27"/>
      <c r="BD110" s="27"/>
      <c r="BE110" s="27"/>
      <c r="BF110" s="27"/>
      <c r="BG110" s="27"/>
      <c r="BH110" s="27"/>
      <c r="BI110" s="27">
        <v>2.0474107518297036E-2</v>
      </c>
      <c r="BJ110" s="27">
        <v>8.9030458852771499E-2</v>
      </c>
      <c r="BK110" s="27">
        <v>3.9123225963522579E-2</v>
      </c>
      <c r="BL110" s="27"/>
      <c r="BM110" s="27">
        <v>5.6575288456466879</v>
      </c>
      <c r="BN110" s="27">
        <v>9.2392464084775803</v>
      </c>
      <c r="BO110" s="27"/>
      <c r="BP110" s="27">
        <v>1.0099148370880666</v>
      </c>
      <c r="BQ110" s="27">
        <v>2.1231222913904588</v>
      </c>
      <c r="BR110" s="27">
        <v>2.0499289140623169</v>
      </c>
      <c r="BS110" s="27">
        <v>3.7033447916405633</v>
      </c>
      <c r="BT110" s="27">
        <v>4.8344738363523758</v>
      </c>
      <c r="BU110" s="27">
        <v>5.6194973830931625</v>
      </c>
      <c r="BV110" s="27">
        <v>6.039442785601878</v>
      </c>
      <c r="BW110" s="27">
        <v>7.1880272087251722</v>
      </c>
      <c r="BX110" s="27">
        <v>7.7213273497094317</v>
      </c>
      <c r="BY110" s="27">
        <v>8.2735834986559436</v>
      </c>
      <c r="BZ110" s="27">
        <v>1.0108830651487359</v>
      </c>
      <c r="CA110" s="27">
        <v>6.0144607505951448</v>
      </c>
      <c r="CB110" s="27">
        <v>5.317792965226726</v>
      </c>
      <c r="CC110" s="27">
        <v>8.0831783066144336</v>
      </c>
      <c r="CD110" s="27">
        <v>8.4869431153617594</v>
      </c>
      <c r="CE110" s="27">
        <v>8.7570607783449379</v>
      </c>
      <c r="CF110" s="27">
        <v>8.9338709376303651</v>
      </c>
      <c r="CG110" s="27"/>
      <c r="CH110" s="27"/>
      <c r="CI110" s="27"/>
      <c r="CJ110" s="27"/>
      <c r="CK110" s="27"/>
      <c r="CL110" s="27"/>
      <c r="CM110" s="27"/>
      <c r="CN110" s="27"/>
      <c r="CO110" s="27"/>
      <c r="CP110" s="27">
        <v>0.82840767094924805</v>
      </c>
      <c r="CQ110" s="27">
        <v>1.1262078303627714</v>
      </c>
      <c r="CR110" s="27">
        <v>1.3203619346024924</v>
      </c>
      <c r="CS110" s="27">
        <v>1.758320900162996</v>
      </c>
      <c r="CT110" s="27">
        <v>1.9867123300653109</v>
      </c>
      <c r="CU110" s="27">
        <v>2.1397566627939435</v>
      </c>
      <c r="CV110" s="27">
        <v>2.3402776102968299</v>
      </c>
      <c r="CW110" s="27">
        <v>2.6064890481088736</v>
      </c>
      <c r="CX110" s="27">
        <v>2.7551029955760953</v>
      </c>
      <c r="CY110" s="27">
        <v>2.8292813551756173</v>
      </c>
      <c r="CZ110" s="27">
        <v>2.9585393245581266</v>
      </c>
      <c r="DA110" s="27">
        <v>3.0337680672376477</v>
      </c>
      <c r="DB110" s="27">
        <v>3.1350064501486932</v>
      </c>
      <c r="DC110" s="27"/>
      <c r="DD110" s="27">
        <v>2.8586410137569604</v>
      </c>
      <c r="DE110" s="27">
        <v>0.96062109817124708</v>
      </c>
      <c r="DF110" s="27"/>
      <c r="DG110" s="27"/>
      <c r="DH110" s="27">
        <v>4.5055887204620619</v>
      </c>
      <c r="DI110" s="27">
        <v>4.4345365204961453</v>
      </c>
      <c r="DJ110" s="27">
        <v>4.3756254727229678</v>
      </c>
      <c r="DK110" s="27">
        <v>4.3212950305188889</v>
      </c>
      <c r="DL110" s="27">
        <v>4.2665955950099574</v>
      </c>
      <c r="DM110" s="27">
        <v>0.61482628846373633</v>
      </c>
      <c r="DN110" s="27">
        <v>0.6103989182256131</v>
      </c>
      <c r="DO110" s="27">
        <v>0.6587906841271689</v>
      </c>
      <c r="DP110" s="27">
        <v>0.77423447011714952</v>
      </c>
      <c r="DQ110" s="27">
        <v>0.65140220671690874</v>
      </c>
      <c r="DR110" s="27">
        <v>8.0502430067072908</v>
      </c>
      <c r="DS110" s="27">
        <v>7.355578238958655</v>
      </c>
      <c r="DT110" s="27"/>
      <c r="DU110" s="27"/>
      <c r="DV110" s="27">
        <v>0.90668460654231198</v>
      </c>
      <c r="DW110" s="27"/>
      <c r="DX110" s="27"/>
      <c r="DY110" s="27">
        <v>0.18579696256223466</v>
      </c>
      <c r="DZ110" s="27">
        <v>0.57794670276334692</v>
      </c>
      <c r="EA110" s="27">
        <v>0.7401862956790648</v>
      </c>
      <c r="EB110" s="27">
        <v>1.1274119665793343</v>
      </c>
      <c r="EC110" s="27">
        <v>1.2914345738585786</v>
      </c>
      <c r="ED110" s="27">
        <v>1.5356957793984987</v>
      </c>
      <c r="EE110" s="27">
        <v>1.8127762593025865</v>
      </c>
      <c r="EF110" s="27">
        <v>1.8477982041164043</v>
      </c>
      <c r="EG110" s="27">
        <v>3.1460867480495631</v>
      </c>
      <c r="EH110" s="27"/>
      <c r="EI110" s="27">
        <v>3.3097536007033721</v>
      </c>
      <c r="EJ110" s="27">
        <v>3.3616842497286221</v>
      </c>
      <c r="EK110" s="27"/>
      <c r="EL110" s="27">
        <v>3.1647072239267491</v>
      </c>
      <c r="EM110" s="27">
        <v>0.14298678005813814</v>
      </c>
      <c r="EN110" s="27">
        <v>0.48204731780596899</v>
      </c>
      <c r="EO110" s="27">
        <v>1.5574268215655103</v>
      </c>
      <c r="EP110" s="27">
        <v>1.9698797538324451</v>
      </c>
      <c r="EQ110" s="27">
        <v>2.2892062184761182</v>
      </c>
      <c r="ER110" s="27">
        <v>9.8328924200858703E-2</v>
      </c>
      <c r="ES110" s="27">
        <v>0.41860132134314321</v>
      </c>
      <c r="ET110" s="27">
        <v>1.4783320516020337</v>
      </c>
      <c r="EU110" s="27">
        <v>1.905403496344984</v>
      </c>
      <c r="EV110" s="27">
        <v>2.2298550267291608</v>
      </c>
      <c r="EW110" s="27">
        <v>9.6400132343501754E-2</v>
      </c>
      <c r="EX110" s="27">
        <v>0.42700141368758016</v>
      </c>
      <c r="EY110" s="27">
        <v>1.6387483424797051</v>
      </c>
      <c r="EZ110" s="27">
        <v>2.0632561303814949</v>
      </c>
      <c r="FA110" s="27">
        <v>2.5505881142067452</v>
      </c>
      <c r="FB110" s="27">
        <v>9.0362643599967596E-2</v>
      </c>
      <c r="FC110" s="27">
        <v>0.60449347363521366</v>
      </c>
      <c r="FD110" s="27">
        <v>1.7288193191291197</v>
      </c>
      <c r="FE110" s="27">
        <v>2.1940263847199111</v>
      </c>
      <c r="FF110" s="27">
        <v>2.5291358589611166</v>
      </c>
      <c r="FG110" s="27">
        <v>0.12028851165784427</v>
      </c>
      <c r="FH110" s="27">
        <v>0.77322185936864951</v>
      </c>
      <c r="FI110" s="27"/>
      <c r="FJ110" s="27">
        <v>2.1977428306641373</v>
      </c>
      <c r="FK110" s="27">
        <v>3.353239335210314</v>
      </c>
    </row>
    <row r="111" spans="3:167" x14ac:dyDescent="0.2">
      <c r="C111" s="10">
        <f t="shared" si="33"/>
        <v>3.0394842065462058E-7</v>
      </c>
      <c r="D111" s="10">
        <f t="shared" si="34"/>
        <v>1.8615464102569979E-2</v>
      </c>
      <c r="E111" s="10" cm="1">
        <f t="array" ref="E111">gavg(AF111,EL111)</f>
        <v>2.4724015233559811E-5</v>
      </c>
      <c r="F111" s="10" cm="1">
        <f t="array" ref="F111">lnstdev(AF111,EL111)</f>
        <v>3.0012794490805237</v>
      </c>
      <c r="G111" s="10">
        <f t="shared" si="35"/>
        <v>73</v>
      </c>
      <c r="H111" s="10">
        <f t="shared" si="36"/>
        <v>8.0109809870032578E-3</v>
      </c>
      <c r="I111" s="10">
        <f t="shared" si="37"/>
        <v>8.6964338518256135E-3</v>
      </c>
      <c r="J111" s="10"/>
      <c r="K111" s="10"/>
      <c r="L111" s="10">
        <f t="shared" si="38"/>
        <v>4</v>
      </c>
      <c r="M111" s="10">
        <f t="shared" si="39"/>
        <v>1.4502417611250706E-6</v>
      </c>
      <c r="N111" s="10">
        <f t="shared" si="40"/>
        <v>7.9291604351576783E-3</v>
      </c>
      <c r="O111" s="10">
        <f t="shared" si="41"/>
        <v>10</v>
      </c>
      <c r="P111" s="10">
        <f t="shared" si="42"/>
        <v>3.0394842065462058E-7</v>
      </c>
      <c r="Q111" s="10">
        <f t="shared" si="43"/>
        <v>2.1890254251477614E-6</v>
      </c>
      <c r="R111" s="10">
        <f t="shared" si="44"/>
        <v>19</v>
      </c>
      <c r="S111" s="10">
        <f t="shared" si="45"/>
        <v>7.9894314988226967E-6</v>
      </c>
      <c r="T111" s="10">
        <f t="shared" si="46"/>
        <v>9.5492010863407195E-4</v>
      </c>
      <c r="U111" s="10">
        <f t="shared" si="47"/>
        <v>27</v>
      </c>
      <c r="V111" s="10">
        <f t="shared" si="24"/>
        <v>9.7535659270064912E-5</v>
      </c>
      <c r="W111" s="10">
        <f t="shared" si="25"/>
        <v>1.8615464102569979E-2</v>
      </c>
      <c r="X111" s="10">
        <f t="shared" si="26"/>
        <v>13</v>
      </c>
      <c r="Y111" s="10">
        <f t="shared" si="27"/>
        <v>1.4827043586835842E-3</v>
      </c>
      <c r="Z111" s="10">
        <f t="shared" si="28"/>
        <v>1.4827043586835842E-3</v>
      </c>
      <c r="AA111" s="10">
        <f t="shared" si="29"/>
        <v>1</v>
      </c>
      <c r="AB111" s="10">
        <f t="shared" si="30"/>
        <v>9.7535659270064912E-5</v>
      </c>
      <c r="AC111" s="10">
        <f t="shared" si="31"/>
        <v>1.8615464102569979E-2</v>
      </c>
      <c r="AD111" s="10">
        <f t="shared" si="32"/>
        <v>12</v>
      </c>
      <c r="AE111" s="5" t="s">
        <v>310</v>
      </c>
      <c r="AF111" s="27"/>
      <c r="AG111" s="27"/>
      <c r="AH111" s="27"/>
      <c r="AI111" s="27"/>
      <c r="AJ111" s="27"/>
      <c r="AK111" s="27"/>
      <c r="AL111" s="27">
        <v>8.0109809870032578E-3</v>
      </c>
      <c r="AM111" s="27">
        <v>8.2596796060305788E-3</v>
      </c>
      <c r="AN111" s="27">
        <v>8.4847680784227997E-3</v>
      </c>
      <c r="AO111" s="27">
        <v>8.6964338518256135E-3</v>
      </c>
      <c r="AP111" s="27">
        <v>7.9291604351576783E-3</v>
      </c>
      <c r="AQ111" s="27">
        <v>2.9325115807332658E-3</v>
      </c>
      <c r="AR111" s="27">
        <v>6.7933022334099036E-6</v>
      </c>
      <c r="AS111" s="27">
        <v>2.3174929970171121E-5</v>
      </c>
      <c r="AT111" s="27">
        <v>1.4502417611250706E-6</v>
      </c>
      <c r="AU111" s="27"/>
      <c r="AV111" s="27">
        <v>5.134640951798275E-5</v>
      </c>
      <c r="AW111" s="27"/>
      <c r="AX111" s="27"/>
      <c r="AY111" s="27"/>
      <c r="AZ111" s="27"/>
      <c r="BA111" s="27"/>
      <c r="BB111" s="27">
        <v>1.9049263035419983E-5</v>
      </c>
      <c r="BC111" s="27"/>
      <c r="BD111" s="27"/>
      <c r="BE111" s="27"/>
      <c r="BF111" s="27"/>
      <c r="BG111" s="27"/>
      <c r="BH111" s="27"/>
      <c r="BI111" s="27">
        <v>1.1150950006033611E-4</v>
      </c>
      <c r="BJ111" s="27">
        <v>3.9506899689456532E-6</v>
      </c>
      <c r="BK111" s="27">
        <v>2.1503504823150443E-4</v>
      </c>
      <c r="BL111" s="27"/>
      <c r="BM111" s="27">
        <v>2.1890254251477614E-6</v>
      </c>
      <c r="BN111" s="27">
        <v>1.0788327722277558E-6</v>
      </c>
      <c r="BO111" s="27"/>
      <c r="BP111" s="27">
        <v>5.5684617672469017E-7</v>
      </c>
      <c r="BQ111" s="27">
        <v>5.1886209084806012E-7</v>
      </c>
      <c r="BR111" s="27">
        <v>3.0432556274995193E-7</v>
      </c>
      <c r="BS111" s="27">
        <v>5.0743346169390691E-7</v>
      </c>
      <c r="BT111" s="27">
        <v>5.4012386985213823E-7</v>
      </c>
      <c r="BU111" s="27">
        <v>7.0988168654473327E-7</v>
      </c>
      <c r="BV111" s="27">
        <v>5.6151274452354016E-7</v>
      </c>
      <c r="BW111" s="27">
        <v>4.0649880772569702E-7</v>
      </c>
      <c r="BX111" s="27">
        <v>4.7009639358996935E-7</v>
      </c>
      <c r="BY111" s="27">
        <v>5.4552476380642645E-7</v>
      </c>
      <c r="BZ111" s="27">
        <v>3.0394842065462058E-7</v>
      </c>
      <c r="CA111" s="27">
        <v>7.9852881751385496E-7</v>
      </c>
      <c r="CB111" s="27">
        <v>6.3621909096589491E-7</v>
      </c>
      <c r="CC111" s="27">
        <v>5.1720425431334149E-7</v>
      </c>
      <c r="CD111" s="27">
        <v>4.2943015543528418E-7</v>
      </c>
      <c r="CE111" s="27">
        <v>3.4644387714166669E-7</v>
      </c>
      <c r="CF111" s="27">
        <v>3.628575313552318E-7</v>
      </c>
      <c r="CG111" s="27"/>
      <c r="CH111" s="27"/>
      <c r="CI111" s="27"/>
      <c r="CJ111" s="27"/>
      <c r="CK111" s="27"/>
      <c r="CL111" s="27"/>
      <c r="CM111" s="27"/>
      <c r="CN111" s="27"/>
      <c r="CO111" s="27"/>
      <c r="CP111" s="27">
        <v>1.5132034772391556E-4</v>
      </c>
      <c r="CQ111" s="27">
        <v>5.2617172734636952E-5</v>
      </c>
      <c r="CR111" s="27">
        <v>2.0825709708738316E-5</v>
      </c>
      <c r="CS111" s="27">
        <v>3.2805366327215424E-5</v>
      </c>
      <c r="CT111" s="27">
        <v>4.0392266435151924E-5</v>
      </c>
      <c r="CU111" s="27">
        <v>1.7798469366558933E-5</v>
      </c>
      <c r="CV111" s="27">
        <v>2.1151565047894394E-5</v>
      </c>
      <c r="CW111" s="27">
        <v>2.6343214963420181E-5</v>
      </c>
      <c r="CX111" s="27">
        <v>1.3446006146278222E-5</v>
      </c>
      <c r="CY111" s="27">
        <v>1.4156995189917865E-5</v>
      </c>
      <c r="CZ111" s="27">
        <v>1.5841507469360749E-5</v>
      </c>
      <c r="DA111" s="27">
        <v>1.6843207561123563E-5</v>
      </c>
      <c r="DB111" s="27">
        <v>1.8392730243066424E-5</v>
      </c>
      <c r="DC111" s="27"/>
      <c r="DD111" s="27">
        <v>7.9894314988226967E-6</v>
      </c>
      <c r="DE111" s="27">
        <v>1.7937330517048267E-4</v>
      </c>
      <c r="DF111" s="27"/>
      <c r="DG111" s="27"/>
      <c r="DH111" s="27">
        <v>1.5905313604624993E-5</v>
      </c>
      <c r="DI111" s="27">
        <v>8.8774376574285441E-6</v>
      </c>
      <c r="DJ111" s="27">
        <v>9.248524226235233E-6</v>
      </c>
      <c r="DK111" s="27">
        <v>9.5481961415178063E-6</v>
      </c>
      <c r="DL111" s="27">
        <v>9.8210249435126684E-6</v>
      </c>
      <c r="DM111" s="27">
        <v>8.7650101266745217E-4</v>
      </c>
      <c r="DN111" s="27">
        <v>1.0304828815588252E-4</v>
      </c>
      <c r="DO111" s="27">
        <v>9.5492010863407195E-4</v>
      </c>
      <c r="DP111" s="27">
        <v>1.3916137705183296E-4</v>
      </c>
      <c r="DQ111" s="27">
        <v>1.1162901808559056E-4</v>
      </c>
      <c r="DR111" s="27">
        <v>1.6167928459154268E-5</v>
      </c>
      <c r="DS111" s="27">
        <v>1.7148402894351378E-5</v>
      </c>
      <c r="DT111" s="27"/>
      <c r="DU111" s="27"/>
      <c r="DV111" s="27">
        <v>1.4827043586835842E-3</v>
      </c>
      <c r="DW111" s="27"/>
      <c r="DX111" s="27"/>
      <c r="DY111" s="27">
        <v>1.8615464102569979E-2</v>
      </c>
      <c r="DZ111" s="27">
        <v>8.3830289876107855E-4</v>
      </c>
      <c r="EA111" s="27">
        <v>1.4388262270559338E-4</v>
      </c>
      <c r="EB111" s="27">
        <v>2.5093699608458309E-4</v>
      </c>
      <c r="EC111" s="27">
        <v>3.0289283997819716E-4</v>
      </c>
      <c r="ED111" s="27">
        <v>9.7535659270064912E-5</v>
      </c>
      <c r="EE111" s="27">
        <v>1.2496213672297252E-4</v>
      </c>
      <c r="EF111" s="27">
        <v>1.2864377587118447E-4</v>
      </c>
      <c r="EG111" s="27">
        <v>2.8898309381442111E-4</v>
      </c>
      <c r="EH111" s="27"/>
      <c r="EI111" s="27">
        <v>1.1263591524057759E-4</v>
      </c>
      <c r="EJ111" s="27">
        <v>1.168952044932059E-4</v>
      </c>
      <c r="EK111" s="27"/>
      <c r="EL111" s="27">
        <v>1.0162205230224153E-4</v>
      </c>
      <c r="EM111" s="27">
        <v>1.7213495503098919E-4</v>
      </c>
      <c r="EN111" s="27">
        <v>8.4463939395984511E-5</v>
      </c>
      <c r="EO111" s="27">
        <v>9.9115205966171516E-5</v>
      </c>
      <c r="EP111" s="27">
        <v>4.9629937752593278E-5</v>
      </c>
      <c r="EQ111" s="27">
        <v>6.328086387785703E-5</v>
      </c>
      <c r="ER111" s="27">
        <v>1.160069551302545E-4</v>
      </c>
      <c r="ES111" s="27">
        <v>5.6933094734779033E-4</v>
      </c>
      <c r="ET111" s="27">
        <v>9.21282026529191E-5</v>
      </c>
      <c r="EU111" s="27">
        <v>4.729727954599916E-5</v>
      </c>
      <c r="EV111" s="27">
        <v>6.0825748949833169E-5</v>
      </c>
      <c r="EW111" s="27">
        <v>1.1364288037984949E-4</v>
      </c>
      <c r="EX111" s="27">
        <v>5.8285827585824457E-4</v>
      </c>
      <c r="EY111" s="27">
        <v>1.0722081716418863E-4</v>
      </c>
      <c r="EZ111" s="27">
        <v>1.5235286405701487E-4</v>
      </c>
      <c r="FA111" s="27">
        <v>7.6069440281933964E-5</v>
      </c>
      <c r="FB111" s="27">
        <v>1.0622484221545214E-4</v>
      </c>
      <c r="FC111" s="27">
        <v>8.8572581195078826E-4</v>
      </c>
      <c r="FD111" s="27">
        <v>1.1625413362637005E-4</v>
      </c>
      <c r="FE111" s="27">
        <v>1.679406002972339E-4</v>
      </c>
      <c r="FF111" s="27">
        <v>7.5030570372280891E-5</v>
      </c>
      <c r="FG111" s="27">
        <v>1.4342143848766753E-4</v>
      </c>
      <c r="FH111" s="27">
        <v>1.2065385090522796E-3</v>
      </c>
      <c r="FI111" s="27"/>
      <c r="FJ111" s="27">
        <v>1.6831354503454854E-4</v>
      </c>
      <c r="FK111" s="27">
        <v>1.1510969716566066E-4</v>
      </c>
    </row>
    <row r="112" spans="3:167" x14ac:dyDescent="0.2">
      <c r="C112" s="10">
        <f t="shared" ref="C112" si="63">MIN(AF112:EL112)</f>
        <v>2.6640666719535133E-5</v>
      </c>
      <c r="D112" s="10">
        <f t="shared" ref="D112" si="64">MAX(AF112:EL112)</f>
        <v>0.98822269522110084</v>
      </c>
      <c r="E112" s="10" cm="1">
        <f t="array" ref="E112">gavg(AF112,EL112)</f>
        <v>7.0161752959297481E-4</v>
      </c>
      <c r="F112" s="10" cm="1">
        <f t="array" ref="F112">lnstdev(AF112,EL112)</f>
        <v>2.6791728075804069</v>
      </c>
      <c r="G112" s="10">
        <f t="shared" ref="G112" si="65">COUNT(AF112:EL112)</f>
        <v>73</v>
      </c>
      <c r="H112" s="10">
        <f t="shared" ref="H112" si="66">MIN(AF112:AO112)</f>
        <v>0.18510883089817032</v>
      </c>
      <c r="I112" s="10">
        <f t="shared" ref="I112" si="67">MAX(AF112:AO112)</f>
        <v>0.19968415534258566</v>
      </c>
      <c r="J112" s="10"/>
      <c r="K112" s="10"/>
      <c r="L112" s="10">
        <f t="shared" ref="L112" si="68">COUNT(AF112:AO112)</f>
        <v>4</v>
      </c>
      <c r="M112" s="10">
        <f t="shared" ref="M112" si="69">MIN(AP112:BL112)</f>
        <v>2.6895183693320668E-4</v>
      </c>
      <c r="N112" s="10">
        <f t="shared" ref="N112" si="70">MAX(AP112:BL112)</f>
        <v>0.98822269522110084</v>
      </c>
      <c r="O112" s="10">
        <f t="shared" ref="O112" si="71">COUNT(AP112:BL112)</f>
        <v>10</v>
      </c>
      <c r="P112" s="10">
        <f t="shared" ref="P112" si="72">MIN(BM112:CO112)</f>
        <v>2.6640666719535133E-5</v>
      </c>
      <c r="Q112" s="10">
        <f t="shared" ref="Q112" si="73">MAX(BM112:CO112)</f>
        <v>1.9184944228878287E-4</v>
      </c>
      <c r="R112" s="10">
        <f t="shared" ref="R112" si="74">COUNT(BM112:CO112)</f>
        <v>19</v>
      </c>
      <c r="S112" s="10">
        <f t="shared" ref="S112" si="75">MIN(CP112:DT112)</f>
        <v>8.6341547410828667E-5</v>
      </c>
      <c r="T112" s="10">
        <f t="shared" ref="T112" si="76">MAX(CP112:DT112)</f>
        <v>1.0272364109307874E-2</v>
      </c>
      <c r="U112" s="10">
        <f t="shared" ref="U112" si="77">COUNT(CP112:DT112)</f>
        <v>27</v>
      </c>
      <c r="V112" s="10">
        <f t="shared" si="24"/>
        <v>1.0536026156606759E-3</v>
      </c>
      <c r="W112" s="10">
        <f t="shared" si="25"/>
        <v>0.18579696256223466</v>
      </c>
      <c r="X112" s="10">
        <f t="shared" si="26"/>
        <v>13</v>
      </c>
      <c r="Y112" s="10">
        <f t="shared" si="27"/>
        <v>1.5909492993573027E-2</v>
      </c>
      <c r="Z112" s="10">
        <f t="shared" si="28"/>
        <v>1.5909492993573027E-2</v>
      </c>
      <c r="AA112" s="10">
        <f t="shared" si="29"/>
        <v>1</v>
      </c>
      <c r="AB112" s="10">
        <f t="shared" si="30"/>
        <v>1.0536026156606759E-3</v>
      </c>
      <c r="AC112" s="10">
        <f t="shared" si="31"/>
        <v>0.18579696256223466</v>
      </c>
      <c r="AD112" s="10">
        <f t="shared" si="32"/>
        <v>12</v>
      </c>
      <c r="AE112" s="5" t="s">
        <v>658</v>
      </c>
      <c r="AF112" s="27"/>
      <c r="AG112" s="27"/>
      <c r="AH112" s="27"/>
      <c r="AI112" s="27"/>
      <c r="AJ112" s="27"/>
      <c r="AK112" s="27"/>
      <c r="AL112" s="27">
        <v>0.18510883089817032</v>
      </c>
      <c r="AM112" s="27">
        <v>0.19041658687855434</v>
      </c>
      <c r="AN112" s="27">
        <v>0.19520125341634942</v>
      </c>
      <c r="AO112" s="27">
        <v>0.19968415534258566</v>
      </c>
      <c r="AP112" s="27">
        <v>0.98822269522110084</v>
      </c>
      <c r="AQ112" s="27">
        <v>0.44548513401764422</v>
      </c>
      <c r="AR112" s="27">
        <v>1.2592189572537826E-3</v>
      </c>
      <c r="AS112" s="27">
        <v>4.2892883632661416E-3</v>
      </c>
      <c r="AT112" s="27">
        <v>2.6895183693320668E-4</v>
      </c>
      <c r="AU112" s="27"/>
      <c r="AV112" s="27">
        <v>9.4789439856333146E-3</v>
      </c>
      <c r="AW112" s="27"/>
      <c r="AX112" s="27"/>
      <c r="AY112" s="27"/>
      <c r="AZ112" s="27"/>
      <c r="BA112" s="27"/>
      <c r="BB112" s="27">
        <v>3.527031154412219E-3</v>
      </c>
      <c r="BC112" s="27"/>
      <c r="BD112" s="27"/>
      <c r="BE112" s="27"/>
      <c r="BF112" s="27"/>
      <c r="BG112" s="27"/>
      <c r="BH112" s="27"/>
      <c r="BI112" s="27">
        <v>2.0474107518297036E-2</v>
      </c>
      <c r="BJ112" s="27">
        <v>7.3249888482429526E-4</v>
      </c>
      <c r="BK112" s="27">
        <v>3.9123225963522579E-2</v>
      </c>
      <c r="BL112" s="27"/>
      <c r="BM112" s="27">
        <v>1.9184944228878287E-4</v>
      </c>
      <c r="BN112" s="27">
        <v>9.455505477817816E-5</v>
      </c>
      <c r="BO112" s="27"/>
      <c r="BP112" s="27">
        <v>4.8806277239910045E-5</v>
      </c>
      <c r="BQ112" s="27">
        <v>4.5477134940075103E-5</v>
      </c>
      <c r="BR112" s="27">
        <v>2.6673722290704305E-5</v>
      </c>
      <c r="BS112" s="27">
        <v>4.4475462442017388E-5</v>
      </c>
      <c r="BT112" s="27">
        <v>4.7340640081827701E-5</v>
      </c>
      <c r="BU112" s="27">
        <v>6.2219072604285941E-5</v>
      </c>
      <c r="BV112" s="27">
        <v>4.9215281131109734E-5</v>
      </c>
      <c r="BW112" s="27">
        <v>3.5628910739715636E-5</v>
      </c>
      <c r="BX112" s="27">
        <v>4.1203014567114948E-5</v>
      </c>
      <c r="BY112" s="27">
        <v>4.7814005073254506E-5</v>
      </c>
      <c r="BZ112" s="27">
        <v>2.6640666719535133E-5</v>
      </c>
      <c r="CA112" s="27">
        <v>6.9988467958248535E-5</v>
      </c>
      <c r="CB112" s="27">
        <v>5.5762937526626644E-5</v>
      </c>
      <c r="CC112" s="27">
        <v>4.5331832436268371E-5</v>
      </c>
      <c r="CD112" s="27">
        <v>3.7638765933545315E-5</v>
      </c>
      <c r="CE112" s="27">
        <v>3.0365279931388045E-5</v>
      </c>
      <c r="CF112" s="27">
        <v>3.1803889197767887E-5</v>
      </c>
      <c r="CG112" s="27"/>
      <c r="CH112" s="27"/>
      <c r="CI112" s="27"/>
      <c r="CJ112" s="27"/>
      <c r="CK112" s="27"/>
      <c r="CL112" s="27"/>
      <c r="CM112" s="27"/>
      <c r="CN112" s="27"/>
      <c r="CO112" s="27"/>
      <c r="CP112" s="27">
        <v>1.6341670220401117E-3</v>
      </c>
      <c r="CQ112" s="27">
        <v>5.6850784965201129E-4</v>
      </c>
      <c r="CR112" s="27">
        <v>2.2504865959005471E-4</v>
      </c>
      <c r="CS112" s="27">
        <v>3.5448348842059829E-4</v>
      </c>
      <c r="CT112" s="27">
        <v>4.3644868965464489E-4</v>
      </c>
      <c r="CU112" s="27">
        <v>1.9233827665843251E-4</v>
      </c>
      <c r="CV112" s="27">
        <v>2.2856958179606757E-4</v>
      </c>
      <c r="CW112" s="27">
        <v>2.846647227090493E-4</v>
      </c>
      <c r="CX112" s="27">
        <v>1.4530669915013839E-4</v>
      </c>
      <c r="CY112" s="27">
        <v>1.529895976677409E-4</v>
      </c>
      <c r="CZ112" s="27">
        <v>1.7119210730576206E-4</v>
      </c>
      <c r="DA112" s="27">
        <v>1.820161396961506E-4</v>
      </c>
      <c r="DB112" s="27">
        <v>1.9875954832726528E-4</v>
      </c>
      <c r="DC112" s="27"/>
      <c r="DD112" s="27">
        <v>8.6341547410828667E-5</v>
      </c>
      <c r="DE112" s="27">
        <v>1.9368560465444773E-3</v>
      </c>
      <c r="DF112" s="27"/>
      <c r="DG112" s="27"/>
      <c r="DH112" s="27">
        <v>1.7188157799141734E-4</v>
      </c>
      <c r="DI112" s="27">
        <v>9.5937785721478264E-5</v>
      </c>
      <c r="DJ112" s="27">
        <v>9.9947907871156261E-5</v>
      </c>
      <c r="DK112" s="27">
        <v>1.0318628170202793E-4</v>
      </c>
      <c r="DL112" s="27">
        <v>1.0613456990427039E-4</v>
      </c>
      <c r="DM112" s="27">
        <v>9.4323580552986286E-3</v>
      </c>
      <c r="DN112" s="27">
        <v>1.1131212600348217E-3</v>
      </c>
      <c r="DO112" s="27">
        <v>1.0272364109307874E-2</v>
      </c>
      <c r="DP112" s="27">
        <v>1.5029469821095098E-3</v>
      </c>
      <c r="DQ112" s="27">
        <v>1.2057591307794713E-3</v>
      </c>
      <c r="DR112" s="27">
        <v>1.7471931379109407E-4</v>
      </c>
      <c r="DS112" s="27">
        <v>1.8531395611653956E-4</v>
      </c>
      <c r="DT112" s="27"/>
      <c r="DU112" s="27"/>
      <c r="DV112" s="27">
        <v>1.5909492993573027E-2</v>
      </c>
      <c r="DW112" s="27"/>
      <c r="DX112" s="27"/>
      <c r="DY112" s="27">
        <v>0.18579696256223466</v>
      </c>
      <c r="DZ112" s="27">
        <v>9.0229598406450506E-3</v>
      </c>
      <c r="EA112" s="27">
        <v>1.5539006838400926E-3</v>
      </c>
      <c r="EB112" s="27">
        <v>2.708646740136933E-3</v>
      </c>
      <c r="EC112" s="27">
        <v>3.2686358719549169E-3</v>
      </c>
      <c r="ED112" s="27">
        <v>1.0536026156606759E-3</v>
      </c>
      <c r="EE112" s="27">
        <v>1.3496885341790499E-3</v>
      </c>
      <c r="EF112" s="27">
        <v>1.3894280768511624E-3</v>
      </c>
      <c r="EG112" s="27">
        <v>3.1187419985168052E-3</v>
      </c>
      <c r="EH112" s="27"/>
      <c r="EI112" s="27">
        <v>1.216629119083823E-3</v>
      </c>
      <c r="EJ112" s="27">
        <v>1.2626092190499705E-3</v>
      </c>
      <c r="EK112" s="27"/>
      <c r="EL112" s="27">
        <v>1.0977228123671967E-3</v>
      </c>
      <c r="EM112" s="27">
        <v>1.8587628056636607E-3</v>
      </c>
      <c r="EN112" s="27">
        <v>9.1245728990441144E-4</v>
      </c>
      <c r="EO112" s="27">
        <v>1.0706569628962104E-3</v>
      </c>
      <c r="EP112" s="27">
        <v>5.3623979931449739E-4</v>
      </c>
      <c r="EQ112" s="27">
        <v>6.8368911943994526E-4</v>
      </c>
      <c r="ER112" s="27">
        <v>1.2530205016123563E-3</v>
      </c>
      <c r="ES112" s="27">
        <v>6.1359104141167631E-3</v>
      </c>
      <c r="ET112" s="27">
        <v>9.9521637364885507E-4</v>
      </c>
      <c r="EU112" s="27">
        <v>5.110418171401232E-4</v>
      </c>
      <c r="EV112" s="27">
        <v>6.5717185786029475E-4</v>
      </c>
      <c r="EW112" s="27">
        <v>1.2274997342343053E-3</v>
      </c>
      <c r="EX112" s="27">
        <v>6.2812872121438268E-3</v>
      </c>
      <c r="EY112" s="27">
        <v>1.1581690055544325E-3</v>
      </c>
      <c r="EZ112" s="27">
        <v>1.6453092563011307E-3</v>
      </c>
      <c r="FA112" s="27">
        <v>8.2180595950864799E-4</v>
      </c>
      <c r="FB112" s="27">
        <v>1.1474163592015696E-3</v>
      </c>
      <c r="FC112" s="27">
        <v>9.5312046922735316E-3</v>
      </c>
      <c r="FD112" s="27">
        <v>1.2556888200896399E-3</v>
      </c>
      <c r="FE112" s="27">
        <v>1.8135081495060934E-3</v>
      </c>
      <c r="FF112" s="27">
        <v>8.1058679242396181E-4</v>
      </c>
      <c r="FG112" s="27">
        <v>1.548923490217069E-3</v>
      </c>
      <c r="FH112" s="27">
        <v>1.2963378185008256E-2</v>
      </c>
      <c r="FI112" s="27"/>
      <c r="FJ112" s="27">
        <v>1.817532082144524E-3</v>
      </c>
      <c r="FK112" s="27">
        <v>1.2433344510731636E-3</v>
      </c>
    </row>
    <row r="113" spans="3:167" x14ac:dyDescent="0.2">
      <c r="C113" s="10">
        <f t="shared" si="33"/>
        <v>4.4379306190494428E-4</v>
      </c>
      <c r="D113" s="10">
        <f t="shared" si="34"/>
        <v>0.14897559475199484</v>
      </c>
      <c r="E113" s="10" cm="1">
        <f t="array" ref="E113">gavg(AF113,EL113)</f>
        <v>1.3160181094092628E-2</v>
      </c>
      <c r="F113" s="10" cm="1">
        <f t="array" ref="F113">lnstdev(AF113,EL113)</f>
        <v>1.4133244344945128</v>
      </c>
      <c r="G113" s="10">
        <f t="shared" si="35"/>
        <v>73</v>
      </c>
      <c r="H113" s="10">
        <f t="shared" si="36"/>
        <v>0.13220988624071356</v>
      </c>
      <c r="I113" s="10">
        <f t="shared" si="37"/>
        <v>0.14897559475199484</v>
      </c>
      <c r="J113" s="10"/>
      <c r="K113" s="10"/>
      <c r="L113" s="10">
        <f t="shared" si="38"/>
        <v>4</v>
      </c>
      <c r="M113" s="10">
        <f t="shared" si="39"/>
        <v>4.4379306190494428E-4</v>
      </c>
      <c r="N113" s="10">
        <f t="shared" si="40"/>
        <v>5.2374924845658803E-3</v>
      </c>
      <c r="O113" s="10">
        <f t="shared" si="41"/>
        <v>10</v>
      </c>
      <c r="P113" s="10">
        <f t="shared" si="42"/>
        <v>2.1090717249037699E-3</v>
      </c>
      <c r="Q113" s="10">
        <f t="shared" si="43"/>
        <v>7.3896184587277187E-3</v>
      </c>
      <c r="R113" s="10">
        <f t="shared" si="44"/>
        <v>19</v>
      </c>
      <c r="S113" s="10">
        <f t="shared" si="45"/>
        <v>4.8867278392717897E-3</v>
      </c>
      <c r="T113" s="10">
        <f t="shared" si="46"/>
        <v>7.8580213836514229E-2</v>
      </c>
      <c r="U113" s="10">
        <f t="shared" si="47"/>
        <v>27</v>
      </c>
      <c r="V113" s="10">
        <f t="shared" si="24"/>
        <v>5.2163319533422049E-3</v>
      </c>
      <c r="W113" s="10">
        <f t="shared" si="25"/>
        <v>7.6954740125918089E-2</v>
      </c>
      <c r="X113" s="10">
        <f t="shared" si="26"/>
        <v>13</v>
      </c>
      <c r="Y113" s="10">
        <f t="shared" si="27"/>
        <v>1.7837144790753334E-2</v>
      </c>
      <c r="Z113" s="10">
        <f t="shared" si="28"/>
        <v>1.7837144790753334E-2</v>
      </c>
      <c r="AA113" s="10">
        <f t="shared" si="29"/>
        <v>1</v>
      </c>
      <c r="AB113" s="10">
        <f t="shared" si="30"/>
        <v>5.2163319533422049E-3</v>
      </c>
      <c r="AC113" s="10">
        <f t="shared" si="31"/>
        <v>7.6954740125918089E-2</v>
      </c>
      <c r="AD113" s="10">
        <f t="shared" si="32"/>
        <v>12</v>
      </c>
      <c r="AE113" s="5" t="s">
        <v>311</v>
      </c>
      <c r="AF113" s="26"/>
      <c r="AG113" s="26"/>
      <c r="AH113" s="26"/>
      <c r="AI113" s="26"/>
      <c r="AJ113" s="26"/>
      <c r="AK113" s="26"/>
      <c r="AL113" s="26">
        <v>0.13220988624071356</v>
      </c>
      <c r="AM113" s="26">
        <v>0.13862354861363463</v>
      </c>
      <c r="AN113" s="26">
        <v>0.14412975946873419</v>
      </c>
      <c r="AO113" s="26">
        <v>0.14897559475199484</v>
      </c>
      <c r="AP113" s="26">
        <v>4.4379306190494428E-4</v>
      </c>
      <c r="AQ113" s="26">
        <v>8.4138179230612206E-4</v>
      </c>
      <c r="AR113" s="26">
        <v>1.5977944249579816E-3</v>
      </c>
      <c r="AS113" s="26">
        <v>2.3640611615414336E-3</v>
      </c>
      <c r="AT113" s="26">
        <v>3.0633786836429503E-3</v>
      </c>
      <c r="AU113" s="26"/>
      <c r="AV113" s="26">
        <v>3.9059343741279485E-3</v>
      </c>
      <c r="AW113" s="26"/>
      <c r="AX113" s="26"/>
      <c r="AY113" s="26"/>
      <c r="AZ113" s="26"/>
      <c r="BA113" s="26"/>
      <c r="BB113" s="26">
        <v>5.2374924845658803E-3</v>
      </c>
      <c r="BC113" s="26"/>
      <c r="BD113" s="26"/>
      <c r="BE113" s="26"/>
      <c r="BF113" s="26"/>
      <c r="BG113" s="26"/>
      <c r="BH113" s="26"/>
      <c r="BI113" s="26">
        <v>6.5696220669024964E-4</v>
      </c>
      <c r="BJ113" s="26">
        <v>1.2481319126277349E-3</v>
      </c>
      <c r="BK113" s="26">
        <v>8.7868460738200821E-4</v>
      </c>
      <c r="BL113" s="26"/>
      <c r="BM113" s="26">
        <v>6.5138901382717296E-3</v>
      </c>
      <c r="BN113" s="26">
        <v>7.3896184587277187E-3</v>
      </c>
      <c r="BO113" s="26"/>
      <c r="BP113" s="26">
        <v>2.1090717249037699E-3</v>
      </c>
      <c r="BQ113" s="26">
        <v>2.771620981488723E-3</v>
      </c>
      <c r="BR113" s="26">
        <v>3.7107649168312577E-3</v>
      </c>
      <c r="BS113" s="26">
        <v>4.0895553277085772E-3</v>
      </c>
      <c r="BT113" s="26">
        <v>4.3822413198589712E-3</v>
      </c>
      <c r="BU113" s="26">
        <v>4.6753353848281954E-3</v>
      </c>
      <c r="BV113" s="26">
        <v>5.1322068889790582E-3</v>
      </c>
      <c r="BW113" s="26">
        <v>5.3401123544633946E-3</v>
      </c>
      <c r="BX113" s="26">
        <v>5.3833030806429132E-3</v>
      </c>
      <c r="BY113" s="26">
        <v>5.0552154644590737E-3</v>
      </c>
      <c r="BZ113" s="26">
        <v>2.3264528040196908E-3</v>
      </c>
      <c r="CA113" s="26">
        <v>4.7094063620177103E-3</v>
      </c>
      <c r="CB113" s="26">
        <v>5.031591364523867E-3</v>
      </c>
      <c r="CC113" s="26">
        <v>5.3563683794444301E-3</v>
      </c>
      <c r="CD113" s="26">
        <v>5.1615257561847079E-3</v>
      </c>
      <c r="CE113" s="26">
        <v>5.3600499049048511E-3</v>
      </c>
      <c r="CF113" s="26">
        <v>5.5217168286727869E-3</v>
      </c>
      <c r="CG113" s="26"/>
      <c r="CH113" s="26"/>
      <c r="CI113" s="26"/>
      <c r="CJ113" s="26"/>
      <c r="CK113" s="26"/>
      <c r="CL113" s="26"/>
      <c r="CM113" s="26"/>
      <c r="CN113" s="26"/>
      <c r="CO113" s="26"/>
      <c r="CP113" s="26">
        <v>1.7830097026760187E-2</v>
      </c>
      <c r="CQ113" s="26">
        <v>2.400645809136541E-2</v>
      </c>
      <c r="CR113" s="26">
        <v>3.0107105719414624E-2</v>
      </c>
      <c r="CS113" s="26">
        <v>3.1475930148898559E-2</v>
      </c>
      <c r="CT113" s="26">
        <v>3.4028370828406936E-2</v>
      </c>
      <c r="CU113" s="26">
        <v>3.7861444824255165E-2</v>
      </c>
      <c r="CV113" s="26">
        <v>3.8840393320812697E-2</v>
      </c>
      <c r="CW113" s="26">
        <v>3.6117529854034394E-2</v>
      </c>
      <c r="CX113" s="26">
        <v>3.5546014701676003E-2</v>
      </c>
      <c r="CY113" s="26">
        <v>3.8841633302714118E-2</v>
      </c>
      <c r="CZ113" s="26">
        <v>3.7080340474578609E-2</v>
      </c>
      <c r="DA113" s="26">
        <v>3.7766581043843436E-2</v>
      </c>
      <c r="DB113" s="26">
        <v>3.5613969369398542E-2</v>
      </c>
      <c r="DC113" s="26"/>
      <c r="DD113" s="26">
        <v>3.6391898684488985E-2</v>
      </c>
      <c r="DE113" s="26">
        <v>1.4303672589026371E-2</v>
      </c>
      <c r="DF113" s="26"/>
      <c r="DG113" s="26"/>
      <c r="DH113" s="26">
        <v>4.8228495123824079E-2</v>
      </c>
      <c r="DI113" s="26">
        <v>4.6256516671554428E-2</v>
      </c>
      <c r="DJ113" s="26">
        <v>4.4427090052169403E-2</v>
      </c>
      <c r="DK113" s="26">
        <v>4.2717257458107838E-2</v>
      </c>
      <c r="DL113" s="26">
        <v>4.0312921801012987E-2</v>
      </c>
      <c r="DM113" s="26">
        <v>4.8867278392717897E-3</v>
      </c>
      <c r="DN113" s="26">
        <v>1.0380405809143036E-2</v>
      </c>
      <c r="DO113" s="26">
        <v>6.9432841559066063E-3</v>
      </c>
      <c r="DP113" s="26">
        <v>1.4142900471480049E-2</v>
      </c>
      <c r="DQ113" s="26">
        <v>9.2033333544638395E-3</v>
      </c>
      <c r="DR113" s="26">
        <v>7.8580213836514229E-2</v>
      </c>
      <c r="DS113" s="26">
        <v>6.9831277282710991E-2</v>
      </c>
      <c r="DT113" s="26"/>
      <c r="DU113" s="26"/>
      <c r="DV113" s="26">
        <v>1.7837144790753334E-2</v>
      </c>
      <c r="DW113" s="26"/>
      <c r="DX113" s="26"/>
      <c r="DY113" s="26">
        <v>5.2163319533422049E-3</v>
      </c>
      <c r="DZ113" s="26">
        <v>1.8402970826219122E-2</v>
      </c>
      <c r="EA113" s="26">
        <v>2.4981011313985741E-2</v>
      </c>
      <c r="EB113" s="26">
        <v>2.8792638687945994E-2</v>
      </c>
      <c r="EC113" s="26">
        <v>3.4999624097361993E-2</v>
      </c>
      <c r="ED113" s="26">
        <v>3.8119965430489296E-2</v>
      </c>
      <c r="EE113" s="26">
        <v>3.8675404732699759E-2</v>
      </c>
      <c r="EF113" s="26">
        <v>4.5356395650674203E-2</v>
      </c>
      <c r="EG113" s="26">
        <v>6.5872699414137134E-2</v>
      </c>
      <c r="EH113" s="26"/>
      <c r="EI113" s="26">
        <v>6.9037399392285564E-2</v>
      </c>
      <c r="EJ113" s="26">
        <v>6.0546773524286855E-2</v>
      </c>
      <c r="EK113" s="26"/>
      <c r="EL113" s="26">
        <v>7.6954740125918089E-2</v>
      </c>
      <c r="EM113" s="26">
        <v>5.9651946621787138E-3</v>
      </c>
      <c r="EN113" s="26">
        <v>2.1692837093174357E-2</v>
      </c>
      <c r="EO113" s="26">
        <v>5.2089213013012579E-2</v>
      </c>
      <c r="EP113" s="26">
        <v>5.9168223160154611E-2</v>
      </c>
      <c r="EQ113" s="26">
        <v>6.1618592106601172E-2</v>
      </c>
      <c r="ER113" s="26">
        <v>5.3769904120882809E-3</v>
      </c>
      <c r="ES113" s="26">
        <v>2.0146217912939718E-2</v>
      </c>
      <c r="ET113" s="26">
        <v>5.0084103896061473E-2</v>
      </c>
      <c r="EU113" s="26">
        <v>5.7540978151938857E-2</v>
      </c>
      <c r="EV113" s="26">
        <v>6.0810745474323302E-2</v>
      </c>
      <c r="EW113" s="26">
        <v>5.2826901025847294E-3</v>
      </c>
      <c r="EX113" s="26">
        <v>1.9750586713186021E-2</v>
      </c>
      <c r="EY113" s="26">
        <v>4.5392396646137714E-2</v>
      </c>
      <c r="EZ113" s="26">
        <v>5.0328912157972375E-2</v>
      </c>
      <c r="FA113" s="26">
        <v>4.1360069457949566E-2</v>
      </c>
      <c r="FB113" s="26">
        <v>5.2434688164417504E-3</v>
      </c>
      <c r="FC113" s="26">
        <v>1.8664274151198829E-2</v>
      </c>
      <c r="FD113" s="26">
        <v>4.1727460276901225E-2</v>
      </c>
      <c r="FE113" s="26">
        <v>4.3466944376325277E-2</v>
      </c>
      <c r="FF113" s="26">
        <v>4.2013169754944152E-2</v>
      </c>
      <c r="FG113" s="26">
        <v>5.2639630279048095E-3</v>
      </c>
      <c r="FH113" s="26">
        <v>1.7881383590103023E-2</v>
      </c>
      <c r="FI113" s="26"/>
      <c r="FJ113" s="26">
        <v>4.4028031602837046E-2</v>
      </c>
      <c r="FK113" s="26">
        <v>6.8348892241825651E-2</v>
      </c>
    </row>
    <row r="114" spans="3:167" x14ac:dyDescent="0.2">
      <c r="C114" s="10">
        <f t="shared" ref="C114" si="78">MIN(AF114:EL114)</f>
        <v>5.2812790606806638E-2</v>
      </c>
      <c r="D114" s="10">
        <f t="shared" ref="D114" si="79">MAX(AF114:EL114)</f>
        <v>3.7459636053468777</v>
      </c>
      <c r="E114" s="10" cm="1">
        <f t="array" ref="E114">gavg(AF114,EL114)</f>
        <v>0.3791348166278613</v>
      </c>
      <c r="F114" s="10" cm="1">
        <f t="array" ref="F114">lnstdev(AF114,EL114)</f>
        <v>0.82374363491522118</v>
      </c>
      <c r="G114" s="10">
        <f t="shared" ref="G114" si="80">COUNT(AF114:EL114)</f>
        <v>73</v>
      </c>
      <c r="H114" s="10">
        <f t="shared" ref="H114" si="81">MIN(AF114:AO114)</f>
        <v>3.3243929849666349</v>
      </c>
      <c r="I114" s="10">
        <f t="shared" ref="I114" si="82">MAX(AF114:AO114)</f>
        <v>3.7459636053468777</v>
      </c>
      <c r="J114" s="10"/>
      <c r="K114" s="10"/>
      <c r="L114" s="10">
        <f t="shared" ref="L114" si="83">COUNT(AF114:AO114)</f>
        <v>4</v>
      </c>
      <c r="M114" s="10">
        <f t="shared" ref="M114" si="84">MIN(AP114:BL114)</f>
        <v>8.2313809160746626E-2</v>
      </c>
      <c r="N114" s="10">
        <f t="shared" ref="N114" si="85">MAX(AP114:BL114)</f>
        <v>0.97143915455744878</v>
      </c>
      <c r="O114" s="10">
        <f t="shared" ref="O114" si="86">COUNT(AP114:BL114)</f>
        <v>10</v>
      </c>
      <c r="P114" s="10">
        <f t="shared" ref="P114" si="87">MIN(BM114:CO114)</f>
        <v>0.18485970975021929</v>
      </c>
      <c r="Q114" s="10">
        <f t="shared" ref="Q114" si="88">MAX(BM114:CO114)</f>
        <v>0.64769856203330256</v>
      </c>
      <c r="R114" s="10">
        <f t="shared" ref="R114" si="89">COUNT(BM114:CO114)</f>
        <v>19</v>
      </c>
      <c r="S114" s="10">
        <f t="shared" ref="S114" si="90">MIN(CP114:DT114)</f>
        <v>5.2812790606806638E-2</v>
      </c>
      <c r="T114" s="10">
        <f t="shared" ref="T114" si="91">MAX(CP114:DT114)</f>
        <v>0.84924729096522522</v>
      </c>
      <c r="U114" s="10">
        <f t="shared" ref="U114" si="92">COUNT(CP114:DT114)</f>
        <v>27</v>
      </c>
      <c r="V114" s="10">
        <f t="shared" si="24"/>
        <v>5.6374951961415017E-2</v>
      </c>
      <c r="W114" s="10">
        <f t="shared" si="25"/>
        <v>0.83168015697738784</v>
      </c>
      <c r="X114" s="10">
        <f t="shared" si="26"/>
        <v>13</v>
      </c>
      <c r="Y114" s="10">
        <f t="shared" si="27"/>
        <v>0.19277304237956638</v>
      </c>
      <c r="Z114" s="10">
        <f t="shared" si="28"/>
        <v>0.19277304237956638</v>
      </c>
      <c r="AA114" s="10">
        <f t="shared" si="29"/>
        <v>1</v>
      </c>
      <c r="AB114" s="10">
        <f t="shared" si="30"/>
        <v>5.6374951961415017E-2</v>
      </c>
      <c r="AC114" s="10">
        <f t="shared" si="31"/>
        <v>0.83168015697738784</v>
      </c>
      <c r="AD114" s="10">
        <f t="shared" si="32"/>
        <v>12</v>
      </c>
      <c r="AE114" s="5" t="s">
        <v>662</v>
      </c>
      <c r="AF114" s="26"/>
      <c r="AG114" s="26"/>
      <c r="AH114" s="26"/>
      <c r="AI114" s="26"/>
      <c r="AJ114" s="26"/>
      <c r="AK114" s="26"/>
      <c r="AL114" s="26">
        <v>3.3243929849666349</v>
      </c>
      <c r="AM114" s="26">
        <v>3.4856633317367947</v>
      </c>
      <c r="AN114" s="26">
        <v>3.6241159789700936</v>
      </c>
      <c r="AO114" s="26">
        <v>3.7459636053468777</v>
      </c>
      <c r="AP114" s="26">
        <v>8.2313809160746626E-2</v>
      </c>
      <c r="AQ114" s="26">
        <v>0.15605773552640007</v>
      </c>
      <c r="AR114" s="26">
        <v>0.29635556898874293</v>
      </c>
      <c r="AS114" s="26">
        <v>0.43848112104360637</v>
      </c>
      <c r="AT114" s="26">
        <v>0.56818907278567288</v>
      </c>
      <c r="AU114" s="26"/>
      <c r="AV114" s="26">
        <v>0.72446454049169595</v>
      </c>
      <c r="AW114" s="26"/>
      <c r="AX114" s="26"/>
      <c r="AY114" s="26"/>
      <c r="AZ114" s="26"/>
      <c r="BA114" s="26"/>
      <c r="BB114" s="26">
        <v>0.97143915455744878</v>
      </c>
      <c r="BC114" s="26"/>
      <c r="BD114" s="26"/>
      <c r="BE114" s="26"/>
      <c r="BF114" s="26"/>
      <c r="BG114" s="26"/>
      <c r="BH114" s="26"/>
      <c r="BI114" s="26">
        <v>0.12185197640360344</v>
      </c>
      <c r="BJ114" s="26">
        <v>0.23150089733823404</v>
      </c>
      <c r="BK114" s="26">
        <v>0.16297658366732207</v>
      </c>
      <c r="BL114" s="26"/>
      <c r="BM114" s="26">
        <v>0.57094115201827444</v>
      </c>
      <c r="BN114" s="26">
        <v>0.64769856203330256</v>
      </c>
      <c r="BO114" s="26"/>
      <c r="BP114" s="26">
        <v>0.18485970975021929</v>
      </c>
      <c r="BQ114" s="26">
        <v>0.24293201797060771</v>
      </c>
      <c r="BR114" s="26">
        <v>0.32524779379327251</v>
      </c>
      <c r="BS114" s="26">
        <v>0.35844869662844869</v>
      </c>
      <c r="BT114" s="26">
        <v>0.38410256459225423</v>
      </c>
      <c r="BU114" s="26">
        <v>0.40979220005602435</v>
      </c>
      <c r="BV114" s="26">
        <v>0.44983689491073731</v>
      </c>
      <c r="BW114" s="26">
        <v>0.46805976687431278</v>
      </c>
      <c r="BX114" s="26">
        <v>0.47184542528088558</v>
      </c>
      <c r="BY114" s="26">
        <v>0.44308861213686923</v>
      </c>
      <c r="BZ114" s="26">
        <v>0.20391311733046275</v>
      </c>
      <c r="CA114" s="26">
        <v>0.41277851430972634</v>
      </c>
      <c r="CB114" s="26">
        <v>0.44101796455975484</v>
      </c>
      <c r="CC114" s="26">
        <v>0.46948460417320725</v>
      </c>
      <c r="CD114" s="26">
        <v>0.45240668768631914</v>
      </c>
      <c r="CE114" s="26">
        <v>0.46980728913456504</v>
      </c>
      <c r="CF114" s="26">
        <v>0.48397736227672672</v>
      </c>
      <c r="CG114" s="26"/>
      <c r="CH114" s="26"/>
      <c r="CI114" s="26"/>
      <c r="CJ114" s="26"/>
      <c r="CK114" s="26"/>
      <c r="CL114" s="26"/>
      <c r="CM114" s="26"/>
      <c r="CN114" s="26"/>
      <c r="CO114" s="26"/>
      <c r="CP114" s="26">
        <v>0.19269687442091216</v>
      </c>
      <c r="CQ114" s="26">
        <v>0.25944723874356229</v>
      </c>
      <c r="CR114" s="26">
        <v>0.32537933816534781</v>
      </c>
      <c r="CS114" s="26">
        <v>0.34017276238489458</v>
      </c>
      <c r="CT114" s="26">
        <v>0.36775799315216784</v>
      </c>
      <c r="CU114" s="26">
        <v>0.40918353207747349</v>
      </c>
      <c r="CV114" s="26">
        <v>0.41976341368005632</v>
      </c>
      <c r="CW114" s="26">
        <v>0.39033635679216644</v>
      </c>
      <c r="CX114" s="26">
        <v>0.38415976765872728</v>
      </c>
      <c r="CY114" s="26">
        <v>0.41977681465237765</v>
      </c>
      <c r="CZ114" s="26">
        <v>0.40074183001868208</v>
      </c>
      <c r="DA114" s="26">
        <v>0.40815830187521168</v>
      </c>
      <c r="DB114" s="26">
        <v>0.38489418049185947</v>
      </c>
      <c r="DC114" s="26"/>
      <c r="DD114" s="26">
        <v>0.39330156870255434</v>
      </c>
      <c r="DE114" s="26">
        <v>0.15458541793175457</v>
      </c>
      <c r="DF114" s="26"/>
      <c r="DG114" s="26"/>
      <c r="DH114" s="26">
        <v>0.52122432393032081</v>
      </c>
      <c r="DI114" s="26">
        <v>0.4999123768552467</v>
      </c>
      <c r="DJ114" s="26">
        <v>0.48014104352998066</v>
      </c>
      <c r="DK114" s="26">
        <v>0.46166220989468598</v>
      </c>
      <c r="DL114" s="26">
        <v>0.43567760838154929</v>
      </c>
      <c r="DM114" s="26">
        <v>5.2812790606806638E-2</v>
      </c>
      <c r="DN114" s="26">
        <v>0.11218513009999034</v>
      </c>
      <c r="DO114" s="26">
        <v>7.503880394208691E-2</v>
      </c>
      <c r="DP114" s="26">
        <v>0.15284789039622229</v>
      </c>
      <c r="DQ114" s="26">
        <v>9.9464044923436704E-2</v>
      </c>
      <c r="DR114" s="26">
        <v>0.84924729096522522</v>
      </c>
      <c r="DS114" s="26">
        <v>0.75469409106426621</v>
      </c>
      <c r="DT114" s="26"/>
      <c r="DU114" s="26"/>
      <c r="DV114" s="26">
        <v>0.19277304237956638</v>
      </c>
      <c r="DW114" s="26"/>
      <c r="DX114" s="26"/>
      <c r="DY114" s="26">
        <v>5.6374951961415017E-2</v>
      </c>
      <c r="DZ114" s="26">
        <v>0.19888814698817239</v>
      </c>
      <c r="EA114" s="26">
        <v>0.26997961889123717</v>
      </c>
      <c r="EB114" s="26">
        <v>0.31117337573490311</v>
      </c>
      <c r="EC114" s="26">
        <v>0.37825470940210409</v>
      </c>
      <c r="ED114" s="26">
        <v>0.41197746599269275</v>
      </c>
      <c r="EE114" s="26">
        <v>0.41798031708799815</v>
      </c>
      <c r="EF114" s="26">
        <v>0.49018441479963604</v>
      </c>
      <c r="EG114" s="26">
        <v>0.71191218240268539</v>
      </c>
      <c r="EH114" s="26"/>
      <c r="EI114" s="26">
        <v>0.74611434032442159</v>
      </c>
      <c r="EJ114" s="26">
        <v>0.65435280564599896</v>
      </c>
      <c r="EK114" s="26"/>
      <c r="EL114" s="26">
        <v>0.83168015697738784</v>
      </c>
      <c r="EM114" s="26">
        <v>6.4468205921087582E-2</v>
      </c>
      <c r="EN114" s="26">
        <v>0.23444302624393937</v>
      </c>
      <c r="EO114" s="26">
        <v>0.56294862128837642</v>
      </c>
      <c r="EP114" s="26">
        <v>0.63945426942371109</v>
      </c>
      <c r="EQ114" s="26">
        <v>0.66593637080822121</v>
      </c>
      <c r="ER114" s="26">
        <v>5.8111251141570126E-2</v>
      </c>
      <c r="ES114" s="26">
        <v>0.21772810419369176</v>
      </c>
      <c r="ET114" s="26">
        <v>0.54127861808371303</v>
      </c>
      <c r="EU114" s="26">
        <v>0.6218679923255217</v>
      </c>
      <c r="EV114" s="26">
        <v>0.65720565437870482</v>
      </c>
      <c r="EW114" s="26">
        <v>5.7092110591129674E-2</v>
      </c>
      <c r="EX114" s="26">
        <v>0.21345236214352159</v>
      </c>
      <c r="EY114" s="26">
        <v>0.49057349172341541</v>
      </c>
      <c r="EZ114" s="26">
        <v>0.54392435729824706</v>
      </c>
      <c r="FA114" s="26">
        <v>0.4469945451456071</v>
      </c>
      <c r="FB114" s="26">
        <v>5.6668230718845351E-2</v>
      </c>
      <c r="FC114" s="26">
        <v>0.20171215483982965</v>
      </c>
      <c r="FD114" s="26">
        <v>0.45096508228831989</v>
      </c>
      <c r="FE114" s="26">
        <v>0.46976437140945126</v>
      </c>
      <c r="FF114" s="26">
        <v>0.454052857039555</v>
      </c>
      <c r="FG114" s="26">
        <v>5.6889719726264977E-2</v>
      </c>
      <c r="FH114" s="26">
        <v>0.19325114849138536</v>
      </c>
      <c r="FI114" s="26"/>
      <c r="FJ114" s="26">
        <v>0.47582826184504712</v>
      </c>
      <c r="FK114" s="26">
        <v>0.73867337263305388</v>
      </c>
    </row>
    <row r="115" spans="3:167" x14ac:dyDescent="0.2">
      <c r="C115" s="10">
        <f t="shared" si="33"/>
        <v>2.542277898540422E-2</v>
      </c>
      <c r="D115" s="10">
        <f t="shared" si="34"/>
        <v>1.2649229325029412</v>
      </c>
      <c r="E115" s="10" cm="1">
        <f t="array" ref="E115">gavg(AF115,EL115)</f>
        <v>0.28055843846816303</v>
      </c>
      <c r="F115" s="10" cm="1">
        <f t="array" ref="F115">lnstdev(AF115,EL115)</f>
        <v>1.02657379871844</v>
      </c>
      <c r="G115" s="10">
        <f t="shared" si="35"/>
        <v>73</v>
      </c>
      <c r="H115" s="10">
        <f t="shared" si="36"/>
        <v>2.542277898540422E-2</v>
      </c>
      <c r="I115" s="10">
        <f t="shared" si="37"/>
        <v>3.5304080228818147E-2</v>
      </c>
      <c r="J115" s="10"/>
      <c r="K115" s="10"/>
      <c r="L115" s="10">
        <f t="shared" si="38"/>
        <v>4</v>
      </c>
      <c r="M115" s="10">
        <f t="shared" si="39"/>
        <v>3.8454470077742331E-2</v>
      </c>
      <c r="N115" s="10">
        <f t="shared" si="40"/>
        <v>0.310862178769852</v>
      </c>
      <c r="O115" s="10">
        <f t="shared" si="41"/>
        <v>10</v>
      </c>
      <c r="P115" s="10">
        <f t="shared" si="42"/>
        <v>0.31472065943861044</v>
      </c>
      <c r="Q115" s="10">
        <f t="shared" si="43"/>
        <v>1.2649229325029412</v>
      </c>
      <c r="R115" s="10">
        <f t="shared" si="44"/>
        <v>19</v>
      </c>
      <c r="S115" s="10">
        <f t="shared" si="45"/>
        <v>7.5680535779552346E-2</v>
      </c>
      <c r="T115" s="10">
        <f t="shared" si="46"/>
        <v>0.94656829851108759</v>
      </c>
      <c r="U115" s="10">
        <f t="shared" si="47"/>
        <v>27</v>
      </c>
      <c r="V115" s="10">
        <f t="shared" si="24"/>
        <v>8.1280125178106469E-2</v>
      </c>
      <c r="W115" s="10">
        <f t="shared" si="25"/>
        <v>0.52003711964626154</v>
      </c>
      <c r="X115" s="10">
        <f t="shared" si="26"/>
        <v>13</v>
      </c>
      <c r="Y115" s="10">
        <f t="shared" si="27"/>
        <v>0.16255738756844693</v>
      </c>
      <c r="Z115" s="10">
        <f t="shared" si="28"/>
        <v>0.16255738756844693</v>
      </c>
      <c r="AA115" s="10">
        <f t="shared" si="29"/>
        <v>1</v>
      </c>
      <c r="AB115" s="10">
        <f t="shared" si="30"/>
        <v>8.1280125178106469E-2</v>
      </c>
      <c r="AC115" s="10">
        <f t="shared" si="31"/>
        <v>0.52003711964626154</v>
      </c>
      <c r="AD115" s="10">
        <f t="shared" si="32"/>
        <v>12</v>
      </c>
      <c r="AE115" s="5" t="s">
        <v>312</v>
      </c>
      <c r="AF115" s="26"/>
      <c r="AG115" s="26"/>
      <c r="AH115" s="26"/>
      <c r="AI115" s="26"/>
      <c r="AJ115" s="26"/>
      <c r="AK115" s="26"/>
      <c r="AL115" s="26">
        <v>2.542277898540422E-2</v>
      </c>
      <c r="AM115" s="26">
        <v>2.877611030299642E-2</v>
      </c>
      <c r="AN115" s="26">
        <v>3.1805617609544853E-2</v>
      </c>
      <c r="AO115" s="26">
        <v>3.5304080228818147E-2</v>
      </c>
      <c r="AP115" s="26">
        <v>3.8454470077742331E-2</v>
      </c>
      <c r="AQ115" s="26">
        <v>5.475967279407546E-2</v>
      </c>
      <c r="AR115" s="26">
        <v>8.1233507542518305E-2</v>
      </c>
      <c r="AS115" s="26">
        <v>0.1068990318800089</v>
      </c>
      <c r="AT115" s="26">
        <v>0.13300447201852222</v>
      </c>
      <c r="AU115" s="26"/>
      <c r="AV115" s="26">
        <v>0.18482502094505188</v>
      </c>
      <c r="AW115" s="26"/>
      <c r="AX115" s="26"/>
      <c r="AY115" s="26"/>
      <c r="AZ115" s="26"/>
      <c r="BA115" s="26"/>
      <c r="BB115" s="26">
        <v>0.310862178769852</v>
      </c>
      <c r="BC115" s="26"/>
      <c r="BD115" s="26"/>
      <c r="BE115" s="26"/>
      <c r="BF115" s="26"/>
      <c r="BG115" s="26"/>
      <c r="BH115" s="26"/>
      <c r="BI115" s="26">
        <v>4.7090779418052633E-2</v>
      </c>
      <c r="BJ115" s="26">
        <v>6.8114087230355613E-2</v>
      </c>
      <c r="BK115" s="26">
        <v>5.5136089005367227E-2</v>
      </c>
      <c r="BL115" s="26"/>
      <c r="BM115" s="26">
        <v>0.31472065943861044</v>
      </c>
      <c r="BN115" s="26">
        <v>0.64831922641010808</v>
      </c>
      <c r="BO115" s="26"/>
      <c r="BP115" s="26">
        <v>0.35140237296238364</v>
      </c>
      <c r="BQ115" s="26">
        <v>0.42165607447406339</v>
      </c>
      <c r="BR115" s="26">
        <v>0.49179058935614095</v>
      </c>
      <c r="BS115" s="26">
        <v>0.5622433116293214</v>
      </c>
      <c r="BT115" s="26">
        <v>0.63229803419937047</v>
      </c>
      <c r="BU115" s="26">
        <v>0.70269651610111439</v>
      </c>
      <c r="BV115" s="26">
        <v>0.7730272498134001</v>
      </c>
      <c r="BW115" s="26">
        <v>0.91356225395098345</v>
      </c>
      <c r="BX115" s="26">
        <v>0.98381771189720457</v>
      </c>
      <c r="BY115" s="26">
        <v>1.0541255283207107</v>
      </c>
      <c r="BZ115" s="26">
        <v>0.35147932152324962</v>
      </c>
      <c r="CA115" s="26">
        <v>0.70287031948098333</v>
      </c>
      <c r="CB115" s="26">
        <v>0.68521597770560549</v>
      </c>
      <c r="CC115" s="26">
        <v>1.0370326601204345</v>
      </c>
      <c r="CD115" s="26">
        <v>1.1244149440014013</v>
      </c>
      <c r="CE115" s="26">
        <v>1.1946062502669874</v>
      </c>
      <c r="CF115" s="26">
        <v>1.2649229325029412</v>
      </c>
      <c r="CG115" s="26"/>
      <c r="CH115" s="26"/>
      <c r="CI115" s="26"/>
      <c r="CJ115" s="26"/>
      <c r="CK115" s="26"/>
      <c r="CL115" s="26"/>
      <c r="CM115" s="26"/>
      <c r="CN115" s="26"/>
      <c r="CO115" s="26"/>
      <c r="CP115" s="26">
        <v>0.15137629508782466</v>
      </c>
      <c r="CQ115" s="26">
        <v>0.18922888986966163</v>
      </c>
      <c r="CR115" s="26">
        <v>0.22716083391694958</v>
      </c>
      <c r="CS115" s="26">
        <v>0.26487104591723021</v>
      </c>
      <c r="CT115" s="26">
        <v>0.30274959501393373</v>
      </c>
      <c r="CU115" s="26">
        <v>0.34061605086371027</v>
      </c>
      <c r="CV115" s="26">
        <v>0.37837913985427862</v>
      </c>
      <c r="CW115" s="26">
        <v>0.41630964262074099</v>
      </c>
      <c r="CX115" s="26">
        <v>0.45408214497670135</v>
      </c>
      <c r="CY115" s="26">
        <v>0.4920403023190042</v>
      </c>
      <c r="CZ115" s="26">
        <v>0.52977082737092007</v>
      </c>
      <c r="DA115" s="26">
        <v>0.56770259125810485</v>
      </c>
      <c r="DB115" s="26">
        <v>0.60540992069673427</v>
      </c>
      <c r="DC115" s="26"/>
      <c r="DD115" s="26">
        <v>0.60539411164767898</v>
      </c>
      <c r="DE115" s="26">
        <v>0.11352731476805805</v>
      </c>
      <c r="DF115" s="26"/>
      <c r="DG115" s="26"/>
      <c r="DH115" s="26">
        <v>0.64338348172786031</v>
      </c>
      <c r="DI115" s="26">
        <v>0.71914287696258317</v>
      </c>
      <c r="DJ115" s="26">
        <v>0.79464964269260063</v>
      </c>
      <c r="DK115" s="26">
        <v>0.87058496426809329</v>
      </c>
      <c r="DL115" s="26">
        <v>0.94656829851108759</v>
      </c>
      <c r="DM115" s="26">
        <v>7.5680535779552346E-2</v>
      </c>
      <c r="DN115" s="26">
        <v>0.11354057905565579</v>
      </c>
      <c r="DO115" s="26">
        <v>9.0857037082600442E-2</v>
      </c>
      <c r="DP115" s="26">
        <v>0.13625511982646715</v>
      </c>
      <c r="DQ115" s="26">
        <v>0.10596009499358042</v>
      </c>
      <c r="DR115" s="26">
        <v>0.56763268913806508</v>
      </c>
      <c r="DS115" s="26">
        <v>0.68121584227810716</v>
      </c>
      <c r="DT115" s="26"/>
      <c r="DU115" s="26"/>
      <c r="DV115" s="26">
        <v>0.16255738756844693</v>
      </c>
      <c r="DW115" s="26"/>
      <c r="DX115" s="26"/>
      <c r="DY115" s="26">
        <v>8.1280125178106469E-2</v>
      </c>
      <c r="DZ115" s="26">
        <v>0.16252382718483896</v>
      </c>
      <c r="EA115" s="26">
        <v>0.1950210333146517</v>
      </c>
      <c r="EB115" s="26">
        <v>0.22757123970445631</v>
      </c>
      <c r="EC115" s="26">
        <v>0.26008442328490894</v>
      </c>
      <c r="ED115" s="26">
        <v>0.29253114376560535</v>
      </c>
      <c r="EE115" s="26">
        <v>0.32513106207810305</v>
      </c>
      <c r="EF115" s="26">
        <v>0.35759844105429994</v>
      </c>
      <c r="EG115" s="26">
        <v>0.35765720557614494</v>
      </c>
      <c r="EH115" s="26"/>
      <c r="EI115" s="26">
        <v>0.48766053746583166</v>
      </c>
      <c r="EJ115" s="26">
        <v>0.52003711964626154</v>
      </c>
      <c r="EK115" s="26"/>
      <c r="EL115" s="26">
        <v>0.39003943595946439</v>
      </c>
      <c r="EM115" s="26">
        <v>8.128486425244881E-2</v>
      </c>
      <c r="EN115" s="26">
        <v>0.16252462025442277</v>
      </c>
      <c r="EO115" s="26">
        <v>0.32506220042643474</v>
      </c>
      <c r="EP115" s="26">
        <v>0.40633523633618834</v>
      </c>
      <c r="EQ115" s="26">
        <v>0.4875563938892637</v>
      </c>
      <c r="ER115" s="26">
        <v>8.1280976277172026E-2</v>
      </c>
      <c r="ES115" s="26">
        <v>0.16254148749044939</v>
      </c>
      <c r="ET115" s="26">
        <v>0.32507214281097341</v>
      </c>
      <c r="EU115" s="26">
        <v>0.40630947124629446</v>
      </c>
      <c r="EV115" s="26">
        <v>0.48762749934755939</v>
      </c>
      <c r="EW115" s="26">
        <v>8.128871354140442E-2</v>
      </c>
      <c r="EX115" s="26">
        <v>0.16254241596215727</v>
      </c>
      <c r="EY115" s="26">
        <v>0.3250752764029875</v>
      </c>
      <c r="EZ115" s="26">
        <v>0.40629480913057414</v>
      </c>
      <c r="FA115" s="26">
        <v>0.48757805822911443</v>
      </c>
      <c r="FB115" s="26">
        <v>8.1268664355462233E-2</v>
      </c>
      <c r="FC115" s="26">
        <v>0.16254999848110502</v>
      </c>
      <c r="FD115" s="26">
        <v>0.32506123326840575</v>
      </c>
      <c r="FE115" s="26">
        <v>0.40635728753925071</v>
      </c>
      <c r="FF115" s="26">
        <v>0.48765856446345246</v>
      </c>
      <c r="FG115" s="26">
        <v>8.1276701438683624E-2</v>
      </c>
      <c r="FH115" s="26">
        <v>0.16255634303777555</v>
      </c>
      <c r="FI115" s="26"/>
      <c r="FJ115" s="26">
        <v>0.40636425107705981</v>
      </c>
      <c r="FK115" s="26">
        <v>0.48773535681095898</v>
      </c>
    </row>
    <row r="116" spans="3:167" x14ac:dyDescent="0.2">
      <c r="C116" s="10">
        <f t="shared" si="33"/>
        <v>4.3532176926543202E-4</v>
      </c>
      <c r="D116" s="10">
        <f t="shared" si="34"/>
        <v>3.0076323209878808</v>
      </c>
      <c r="E116" s="10" cm="1">
        <f t="array" ref="E116">gavg(AF116,EL116)</f>
        <v>0.12098009059357949</v>
      </c>
      <c r="F116" s="10" cm="1">
        <f t="array" ref="F116">lnstdev(AF116,EL116)</f>
        <v>2.3008671251011421</v>
      </c>
      <c r="G116" s="10">
        <f t="shared" si="35"/>
        <v>73</v>
      </c>
      <c r="H116" s="10">
        <f t="shared" si="36"/>
        <v>9.159471421134345E-3</v>
      </c>
      <c r="I116" s="10">
        <f t="shared" si="37"/>
        <v>1.9903312746393294E-2</v>
      </c>
      <c r="J116" s="10"/>
      <c r="K116" s="10"/>
      <c r="L116" s="10">
        <f t="shared" si="38"/>
        <v>4</v>
      </c>
      <c r="M116" s="10">
        <f t="shared" si="39"/>
        <v>4.3532176926543202E-4</v>
      </c>
      <c r="N116" s="10">
        <f t="shared" si="40"/>
        <v>0.3357340591684066</v>
      </c>
      <c r="O116" s="10">
        <f t="shared" si="41"/>
        <v>10</v>
      </c>
      <c r="P116" s="10">
        <f t="shared" si="42"/>
        <v>8.865907770015774E-2</v>
      </c>
      <c r="Q116" s="10">
        <f t="shared" si="43"/>
        <v>3.0076323209878808</v>
      </c>
      <c r="R116" s="10">
        <f t="shared" si="44"/>
        <v>19</v>
      </c>
      <c r="S116" s="10">
        <f t="shared" si="45"/>
        <v>1.2312565385056602E-3</v>
      </c>
      <c r="T116" s="10">
        <f t="shared" si="46"/>
        <v>1.5889498437357472</v>
      </c>
      <c r="U116" s="10">
        <f t="shared" si="47"/>
        <v>27</v>
      </c>
      <c r="V116" s="10">
        <f t="shared" si="24"/>
        <v>1.7282018840389063E-3</v>
      </c>
      <c r="W116" s="10">
        <f t="shared" si="25"/>
        <v>0.82334181987871247</v>
      </c>
      <c r="X116" s="10">
        <f t="shared" si="26"/>
        <v>13</v>
      </c>
      <c r="Y116" s="10">
        <f t="shared" si="27"/>
        <v>2.3637377208065198E-2</v>
      </c>
      <c r="Z116" s="10">
        <f t="shared" si="28"/>
        <v>2.3637377208065198E-2</v>
      </c>
      <c r="AA116" s="10">
        <f t="shared" si="29"/>
        <v>1</v>
      </c>
      <c r="AB116" s="10">
        <f t="shared" si="30"/>
        <v>1.7282018840389063E-3</v>
      </c>
      <c r="AC116" s="10">
        <f t="shared" si="31"/>
        <v>0.82334181987871247</v>
      </c>
      <c r="AD116" s="10">
        <f t="shared" si="32"/>
        <v>12</v>
      </c>
      <c r="AE116" s="5" t="s">
        <v>313</v>
      </c>
      <c r="AF116" s="26"/>
      <c r="AG116" s="26"/>
      <c r="AH116" s="26"/>
      <c r="AI116" s="26"/>
      <c r="AJ116" s="26"/>
      <c r="AK116" s="26"/>
      <c r="AL116" s="26">
        <v>9.159471421134345E-3</v>
      </c>
      <c r="AM116" s="26">
        <v>1.2304433621974654E-2</v>
      </c>
      <c r="AN116" s="26">
        <v>1.562866077933359E-2</v>
      </c>
      <c r="AO116" s="26">
        <v>1.9903312746393294E-2</v>
      </c>
      <c r="AP116" s="26">
        <v>4.3532176926543202E-4</v>
      </c>
      <c r="AQ116" s="26">
        <v>1.6735974820352064E-3</v>
      </c>
      <c r="AR116" s="26">
        <v>6.9940306070295421E-3</v>
      </c>
      <c r="AS116" s="26">
        <v>1.7920184128902159E-2</v>
      </c>
      <c r="AT116" s="26">
        <v>3.5947557614726365E-2</v>
      </c>
      <c r="AU116" s="26"/>
      <c r="AV116" s="26">
        <v>8.8508032311358786E-2</v>
      </c>
      <c r="AW116" s="26"/>
      <c r="AX116" s="26"/>
      <c r="AY116" s="26"/>
      <c r="AZ116" s="26"/>
      <c r="BA116" s="26"/>
      <c r="BB116" s="26">
        <v>0.3357340591684066</v>
      </c>
      <c r="BC116" s="26"/>
      <c r="BD116" s="26"/>
      <c r="BE116" s="26"/>
      <c r="BF116" s="26"/>
      <c r="BG116" s="26"/>
      <c r="BH116" s="26"/>
      <c r="BI116" s="26">
        <v>9.6638094769529244E-4</v>
      </c>
      <c r="BJ116" s="26">
        <v>3.841232416574184E-3</v>
      </c>
      <c r="BK116" s="26">
        <v>1.7719079131209466E-3</v>
      </c>
      <c r="BL116" s="26"/>
      <c r="BM116" s="26">
        <v>0.21964100117301208</v>
      </c>
      <c r="BN116" s="26">
        <v>1.0573585895566537</v>
      </c>
      <c r="BO116" s="26"/>
      <c r="BP116" s="26">
        <v>8.865907770015774E-2</v>
      </c>
      <c r="BQ116" s="26">
        <v>0.16775406115395691</v>
      </c>
      <c r="BR116" s="26">
        <v>0.30552471664921405</v>
      </c>
      <c r="BS116" s="26">
        <v>0.44009573900931581</v>
      </c>
      <c r="BT116" s="26">
        <v>0.59643405491107793</v>
      </c>
      <c r="BU116" s="26">
        <v>0.7859064463597959</v>
      </c>
      <c r="BV116" s="26">
        <v>1.0440378462005988</v>
      </c>
      <c r="BW116" s="26">
        <v>1.5172221319173158</v>
      </c>
      <c r="BX116" s="26">
        <v>1.7737833961640876</v>
      </c>
      <c r="BY116" s="26">
        <v>1.9122594371008936</v>
      </c>
      <c r="BZ116" s="26">
        <v>9.7839964241909216E-2</v>
      </c>
      <c r="CA116" s="26">
        <v>0.79202530080420708</v>
      </c>
      <c r="CB116" s="26">
        <v>0.80423469614236642</v>
      </c>
      <c r="CC116" s="26">
        <v>1.9610008681225588</v>
      </c>
      <c r="CD116" s="26">
        <v>2.2215382573810976</v>
      </c>
      <c r="CE116" s="26">
        <v>2.6039993922151998</v>
      </c>
      <c r="CF116" s="26">
        <v>3.0076323209878808</v>
      </c>
      <c r="CG116" s="26"/>
      <c r="CH116" s="26"/>
      <c r="CI116" s="26"/>
      <c r="CJ116" s="26"/>
      <c r="CK116" s="26"/>
      <c r="CL116" s="26"/>
      <c r="CM116" s="26"/>
      <c r="CN116" s="26"/>
      <c r="CO116" s="26"/>
      <c r="CP116" s="26">
        <v>1.7973450156954836E-2</v>
      </c>
      <c r="CQ116" s="26">
        <v>3.7815075671765917E-2</v>
      </c>
      <c r="CR116" s="26">
        <v>6.8343610442249583E-2</v>
      </c>
      <c r="CS116" s="26">
        <v>9.7142560717807358E-2</v>
      </c>
      <c r="CT116" s="26">
        <v>0.13720511442321795</v>
      </c>
      <c r="CU116" s="26">
        <v>0.19323660709632506</v>
      </c>
      <c r="CV116" s="26">
        <v>0.24462452314102054</v>
      </c>
      <c r="CW116" s="26">
        <v>0.27536769069321271</v>
      </c>
      <c r="CX116" s="26">
        <v>0.32241984763508624</v>
      </c>
      <c r="CY116" s="26">
        <v>0.41367648903987442</v>
      </c>
      <c r="CZ116" s="26">
        <v>0.45780633070722754</v>
      </c>
      <c r="DA116" s="26">
        <v>0.53544075613542574</v>
      </c>
      <c r="DB116" s="26">
        <v>0.57422414424199064</v>
      </c>
      <c r="DC116" s="26"/>
      <c r="DD116" s="26">
        <v>0.58673649393143035</v>
      </c>
      <c r="DE116" s="26">
        <v>8.1098027952700436E-3</v>
      </c>
      <c r="DF116" s="26"/>
      <c r="DG116" s="26"/>
      <c r="DH116" s="26">
        <v>0.87822445379706948</v>
      </c>
      <c r="DI116" s="26">
        <v>1.0523623286780133</v>
      </c>
      <c r="DJ116" s="26">
        <v>1.2341309808520879</v>
      </c>
      <c r="DK116" s="26">
        <v>1.4242547890003812</v>
      </c>
      <c r="DL116" s="26">
        <v>1.5889498437357472</v>
      </c>
      <c r="DM116" s="26">
        <v>1.2312565385056602E-3</v>
      </c>
      <c r="DN116" s="26">
        <v>5.8867899977585233E-3</v>
      </c>
      <c r="DO116" s="26">
        <v>2.5214135418066752E-3</v>
      </c>
      <c r="DP116" s="26">
        <v>1.155064261705315E-2</v>
      </c>
      <c r="DQ116" s="26">
        <v>4.54560644894821E-3</v>
      </c>
      <c r="DR116" s="26">
        <v>1.1138071558024216</v>
      </c>
      <c r="DS116" s="26">
        <v>1.4255467557422841</v>
      </c>
      <c r="DT116" s="26"/>
      <c r="DU116" s="26"/>
      <c r="DV116" s="26">
        <v>2.3637377208065198E-2</v>
      </c>
      <c r="DW116" s="26"/>
      <c r="DX116" s="26"/>
      <c r="DY116" s="26">
        <v>1.7282018840389063E-3</v>
      </c>
      <c r="DZ116" s="26">
        <v>2.4377128399842907E-2</v>
      </c>
      <c r="EA116" s="26">
        <v>4.764676816891715E-2</v>
      </c>
      <c r="EB116" s="26">
        <v>7.4778499066735657E-2</v>
      </c>
      <c r="EC116" s="26">
        <v>0.11872784661268407</v>
      </c>
      <c r="ED116" s="26">
        <v>0.16359018452334431</v>
      </c>
      <c r="EE116" s="26">
        <v>0.20502759546987959</v>
      </c>
      <c r="EF116" s="26">
        <v>0.29086421575615345</v>
      </c>
      <c r="EG116" s="26">
        <v>0.42257124857857131</v>
      </c>
      <c r="EH116" s="26"/>
      <c r="EI116" s="26">
        <v>0.82334181987871247</v>
      </c>
      <c r="EJ116" s="26">
        <v>0.82114569258062464</v>
      </c>
      <c r="EK116" s="26"/>
      <c r="EL116" s="26">
        <v>0.58710116358467423</v>
      </c>
      <c r="EM116" s="26">
        <v>1.9765350307382264E-3</v>
      </c>
      <c r="EN116" s="26">
        <v>2.8735264597012235E-2</v>
      </c>
      <c r="EO116" s="26">
        <v>0.27602045247088847</v>
      </c>
      <c r="EP116" s="26">
        <v>0.48991193867106181</v>
      </c>
      <c r="EQ116" s="26">
        <v>0.73455109297262922</v>
      </c>
      <c r="ER116" s="26">
        <v>1.7814662970506822E-3</v>
      </c>
      <c r="ES116" s="26">
        <v>2.6692085829635732E-2</v>
      </c>
      <c r="ET116" s="26">
        <v>0.26541162538631791</v>
      </c>
      <c r="EU116" s="26">
        <v>0.47637795757716528</v>
      </c>
      <c r="EV116" s="26">
        <v>0.7251322686078352</v>
      </c>
      <c r="EW116" s="26">
        <v>1.7505566167615864E-3</v>
      </c>
      <c r="EX116" s="26">
        <v>2.6168205903897773E-2</v>
      </c>
      <c r="EY116" s="26">
        <v>0.24055341134903613</v>
      </c>
      <c r="EZ116" s="26">
        <v>0.41663966815342701</v>
      </c>
      <c r="FA116" s="26">
        <v>0.49309442467718378</v>
      </c>
      <c r="FB116" s="26">
        <v>1.7367026209811709E-3</v>
      </c>
      <c r="FC116" s="26">
        <v>2.4731221679043156E-2</v>
      </c>
      <c r="FD116" s="26">
        <v>0.22111226611274376</v>
      </c>
      <c r="FE116" s="26">
        <v>0.35994466633224387</v>
      </c>
      <c r="FF116" s="26">
        <v>0.50104610034875385</v>
      </c>
      <c r="FG116" s="26">
        <v>1.7438354236495013E-3</v>
      </c>
      <c r="FH116" s="26">
        <v>2.3695696933736004E-2</v>
      </c>
      <c r="FI116" s="26"/>
      <c r="FJ116" s="26">
        <v>0.36460345954796336</v>
      </c>
      <c r="FK116" s="26">
        <v>0.81538080782674904</v>
      </c>
    </row>
    <row r="117" spans="3:167" x14ac:dyDescent="0.2">
      <c r="C117" s="10">
        <f t="shared" si="33"/>
        <v>0.13706938513561831</v>
      </c>
      <c r="D117" s="10">
        <f t="shared" si="34"/>
        <v>11.482303876701639</v>
      </c>
      <c r="E117" s="10" cm="1">
        <f t="array" ref="E117">gavg(AF117,EL117)</f>
        <v>1.6867387314738844</v>
      </c>
      <c r="F117" s="10" cm="1">
        <f t="array" ref="F117">lnstdev(AF117,EL117)</f>
        <v>1.1738388089076721</v>
      </c>
      <c r="G117" s="10">
        <f t="shared" si="35"/>
        <v>59</v>
      </c>
      <c r="H117" s="10">
        <f t="shared" si="36"/>
        <v>0</v>
      </c>
      <c r="I117" s="10">
        <f t="shared" si="37"/>
        <v>0</v>
      </c>
      <c r="J117" s="10"/>
      <c r="K117" s="10"/>
      <c r="L117" s="10">
        <f t="shared" si="38"/>
        <v>0</v>
      </c>
      <c r="M117" s="10">
        <f t="shared" si="39"/>
        <v>0</v>
      </c>
      <c r="N117" s="10">
        <f t="shared" si="40"/>
        <v>0</v>
      </c>
      <c r="O117" s="10">
        <f t="shared" si="41"/>
        <v>0</v>
      </c>
      <c r="P117" s="10">
        <f t="shared" si="42"/>
        <v>2.8568683159214134</v>
      </c>
      <c r="Q117" s="10">
        <f t="shared" si="43"/>
        <v>11.482303876701639</v>
      </c>
      <c r="R117" s="10">
        <f t="shared" si="44"/>
        <v>19</v>
      </c>
      <c r="S117" s="10">
        <f t="shared" si="45"/>
        <v>0.29232626207856161</v>
      </c>
      <c r="T117" s="10">
        <f t="shared" si="46"/>
        <v>3.6562475365108615</v>
      </c>
      <c r="U117" s="10">
        <f t="shared" si="47"/>
        <v>27</v>
      </c>
      <c r="V117" s="10">
        <f t="shared" si="24"/>
        <v>0.13706938513561831</v>
      </c>
      <c r="W117" s="10">
        <f t="shared" si="25"/>
        <v>0.87698152631304349</v>
      </c>
      <c r="X117" s="10">
        <f t="shared" si="26"/>
        <v>13</v>
      </c>
      <c r="Y117" s="10">
        <f t="shared" si="27"/>
        <v>0.27413394251589057</v>
      </c>
      <c r="Z117" s="10">
        <f t="shared" si="28"/>
        <v>0.27413394251589057</v>
      </c>
      <c r="AA117" s="10">
        <f t="shared" si="29"/>
        <v>1</v>
      </c>
      <c r="AB117" s="10">
        <f t="shared" si="30"/>
        <v>0.13706938513561831</v>
      </c>
      <c r="AC117" s="10">
        <f t="shared" si="31"/>
        <v>0.87698152631304349</v>
      </c>
      <c r="AD117" s="10">
        <f t="shared" si="32"/>
        <v>12</v>
      </c>
      <c r="AE117" s="5" t="s">
        <v>317</v>
      </c>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v>2.8568683159214134</v>
      </c>
      <c r="BN117" s="26">
        <v>5.8851003294081572</v>
      </c>
      <c r="BO117" s="26"/>
      <c r="BP117" s="26">
        <v>3.1898455832120436</v>
      </c>
      <c r="BQ117" s="26">
        <v>3.8275716679340666</v>
      </c>
      <c r="BR117" s="26">
        <v>4.4642158392335665</v>
      </c>
      <c r="BS117" s="26">
        <v>5.1037485295618303</v>
      </c>
      <c r="BT117" s="26">
        <v>5.7396683882963568</v>
      </c>
      <c r="BU117" s="26">
        <v>6.3787087131126867</v>
      </c>
      <c r="BV117" s="26">
        <v>7.0171340555625292</v>
      </c>
      <c r="BW117" s="26">
        <v>8.2928367733781077</v>
      </c>
      <c r="BX117" s="26">
        <v>8.9305788020874086</v>
      </c>
      <c r="BY117" s="26">
        <v>9.5687961134651331</v>
      </c>
      <c r="BZ117" s="26">
        <v>3.1905440817023742</v>
      </c>
      <c r="CA117" s="26">
        <v>6.3802864086158468</v>
      </c>
      <c r="CB117" s="26">
        <v>6.2200295962842658</v>
      </c>
      <c r="CC117" s="26">
        <v>9.4136360624004976</v>
      </c>
      <c r="CD117" s="26">
        <v>10.206846392595169</v>
      </c>
      <c r="CE117" s="26">
        <v>10.844006086150031</v>
      </c>
      <c r="CF117" s="26">
        <v>11.482303876701639</v>
      </c>
      <c r="CG117" s="26"/>
      <c r="CH117" s="26"/>
      <c r="CI117" s="26"/>
      <c r="CJ117" s="26"/>
      <c r="CK117" s="26"/>
      <c r="CL117" s="26"/>
      <c r="CM117" s="26"/>
      <c r="CN117" s="26"/>
      <c r="CO117" s="26"/>
      <c r="CP117" s="26">
        <v>0.58471132708710405</v>
      </c>
      <c r="CQ117" s="26">
        <v>0.73092207240715157</v>
      </c>
      <c r="CR117" s="26">
        <v>0.87743931495173688</v>
      </c>
      <c r="CS117" s="26">
        <v>1.023100087601956</v>
      </c>
      <c r="CT117" s="26">
        <v>1.1694110849586941</v>
      </c>
      <c r="CU117" s="26">
        <v>1.3156753705204625</v>
      </c>
      <c r="CV117" s="26">
        <v>1.461540387667124</v>
      </c>
      <c r="CW117" s="26">
        <v>1.6080520630704092</v>
      </c>
      <c r="CX117" s="26">
        <v>1.7539534406086863</v>
      </c>
      <c r="CY117" s="26">
        <v>1.9005719355356645</v>
      </c>
      <c r="CZ117" s="26">
        <v>2.0463111700835799</v>
      </c>
      <c r="DA117" s="26">
        <v>2.1928277167355033</v>
      </c>
      <c r="DB117" s="26">
        <v>2.3384773551031222</v>
      </c>
      <c r="DC117" s="26"/>
      <c r="DD117" s="26">
        <v>2.3384162905219883</v>
      </c>
      <c r="DE117" s="26">
        <v>0.43851454311359794</v>
      </c>
      <c r="DF117" s="26"/>
      <c r="DG117" s="26"/>
      <c r="DH117" s="26">
        <v>2.4851553488527434</v>
      </c>
      <c r="DI117" s="26">
        <v>2.7777862161976672</v>
      </c>
      <c r="DJ117" s="26">
        <v>3.0694412680566066</v>
      </c>
      <c r="DK117" s="26">
        <v>3.3627516745864563</v>
      </c>
      <c r="DL117" s="26">
        <v>3.6562475365108615</v>
      </c>
      <c r="DM117" s="26">
        <v>0.29232626207856161</v>
      </c>
      <c r="DN117" s="26">
        <v>0.43856577821087417</v>
      </c>
      <c r="DO117" s="26">
        <v>0.35094754232786368</v>
      </c>
      <c r="DP117" s="26">
        <v>0.52630375112512517</v>
      </c>
      <c r="DQ117" s="26">
        <v>0.40928513758397039</v>
      </c>
      <c r="DR117" s="26">
        <v>2.1925577103824545</v>
      </c>
      <c r="DS117" s="26">
        <v>2.631287936728135</v>
      </c>
      <c r="DT117" s="26"/>
      <c r="DU117" s="26"/>
      <c r="DV117" s="26">
        <v>0.27413394251589057</v>
      </c>
      <c r="DW117" s="26"/>
      <c r="DX117" s="26"/>
      <c r="DY117" s="26">
        <v>0.13706938513561831</v>
      </c>
      <c r="DZ117" s="26">
        <v>0.27407734687044855</v>
      </c>
      <c r="EA117" s="26">
        <v>0.32888006836082717</v>
      </c>
      <c r="EB117" s="26">
        <v>0.38377216856504504</v>
      </c>
      <c r="EC117" s="26">
        <v>0.4386018341494497</v>
      </c>
      <c r="ED117" s="26">
        <v>0.49331941752190112</v>
      </c>
      <c r="EE117" s="26">
        <v>0.54829535104530391</v>
      </c>
      <c r="EF117" s="26">
        <v>0.60304777254417163</v>
      </c>
      <c r="EG117" s="26">
        <v>0.60314687200864014</v>
      </c>
      <c r="EH117" s="26"/>
      <c r="EI117" s="26">
        <v>0.82238222294657048</v>
      </c>
      <c r="EJ117" s="26">
        <v>0.87698152631304349</v>
      </c>
      <c r="EK117" s="26"/>
      <c r="EL117" s="26">
        <v>0.6577557004059309</v>
      </c>
      <c r="EM117" s="26">
        <v>0.13707737702791417</v>
      </c>
      <c r="EN117" s="26">
        <v>0.27407868428915927</v>
      </c>
      <c r="EO117" s="26">
        <v>0.54817922395725005</v>
      </c>
      <c r="EP117" s="26">
        <v>0.68523665387439325</v>
      </c>
      <c r="EQ117" s="26">
        <v>0.82220659703587318</v>
      </c>
      <c r="ER117" s="26">
        <v>0.13707082041423471</v>
      </c>
      <c r="ES117" s="26">
        <v>0.27410712890173883</v>
      </c>
      <c r="ET117" s="26">
        <v>0.54819599062108715</v>
      </c>
      <c r="EU117" s="26">
        <v>0.68519320407627859</v>
      </c>
      <c r="EV117" s="26">
        <v>0.82232650804027951</v>
      </c>
      <c r="EW117" s="26">
        <v>0.13708386840165651</v>
      </c>
      <c r="EX117" s="26">
        <v>0.27410869466022941</v>
      </c>
      <c r="EY117" s="26">
        <v>0.54820127505599292</v>
      </c>
      <c r="EZ117" s="26">
        <v>0.68516847814011439</v>
      </c>
      <c r="FA117" s="26">
        <v>0.82224313140065419</v>
      </c>
      <c r="FB117" s="26">
        <v>0.13705005780424978</v>
      </c>
      <c r="FC117" s="26">
        <v>0.27412148168790279</v>
      </c>
      <c r="FD117" s="26">
        <v>0.5481775929588224</v>
      </c>
      <c r="FE117" s="26">
        <v>0.68527384063854535</v>
      </c>
      <c r="FF117" s="26">
        <v>0.82237889570977796</v>
      </c>
      <c r="FG117" s="26">
        <v>0.13706361140118417</v>
      </c>
      <c r="FH117" s="26">
        <v>0.27413218103758863</v>
      </c>
      <c r="FI117" s="26"/>
      <c r="FJ117" s="26">
        <v>0.68528558382722493</v>
      </c>
      <c r="FK117" s="26">
        <v>0.82250839698493927</v>
      </c>
    </row>
    <row r="118" spans="3:167" x14ac:dyDescent="0.2">
      <c r="C118" s="10">
        <f t="shared" si="33"/>
        <v>0.92901331031001122</v>
      </c>
      <c r="D118" s="10">
        <f t="shared" si="34"/>
        <v>1.5382774463582296</v>
      </c>
      <c r="E118" s="10" cm="1">
        <f t="array" ref="E118">gavg(AF118,EL118)</f>
        <v>1.2878814258244928</v>
      </c>
      <c r="F118" s="10" cm="1">
        <f t="array" ref="F118">lnstdev(AF118,EL118)</f>
        <v>0.109511115790189</v>
      </c>
      <c r="G118" s="10">
        <f t="shared" si="35"/>
        <v>73</v>
      </c>
      <c r="H118" s="10">
        <f t="shared" si="36"/>
        <v>1.0810755260267768</v>
      </c>
      <c r="I118" s="10">
        <f t="shared" si="37"/>
        <v>1.1552428220694375</v>
      </c>
      <c r="J118" s="10"/>
      <c r="K118" s="10"/>
      <c r="L118" s="10">
        <f t="shared" si="38"/>
        <v>4</v>
      </c>
      <c r="M118" s="10">
        <f t="shared" si="39"/>
        <v>0.92901331031001122</v>
      </c>
      <c r="N118" s="10">
        <f t="shared" si="40"/>
        <v>1.2914051893201628</v>
      </c>
      <c r="O118" s="10">
        <f t="shared" si="41"/>
        <v>10</v>
      </c>
      <c r="P118" s="10">
        <f t="shared" si="42"/>
        <v>1.3180146381717237</v>
      </c>
      <c r="Q118" s="10">
        <f t="shared" si="43"/>
        <v>1.5360114145124946</v>
      </c>
      <c r="R118" s="10">
        <f t="shared" si="44"/>
        <v>19</v>
      </c>
      <c r="S118" s="10">
        <f t="shared" si="45"/>
        <v>1.1306280488092419</v>
      </c>
      <c r="T118" s="10">
        <f t="shared" si="46"/>
        <v>1.3883124368513799</v>
      </c>
      <c r="U118" s="10">
        <f t="shared" si="47"/>
        <v>27</v>
      </c>
      <c r="V118" s="10">
        <f t="shared" si="24"/>
        <v>1.1946263909394317</v>
      </c>
      <c r="W118" s="10">
        <f t="shared" si="25"/>
        <v>1.5382774463582296</v>
      </c>
      <c r="X118" s="10">
        <f t="shared" si="26"/>
        <v>13</v>
      </c>
      <c r="Y118" s="10">
        <f t="shared" si="27"/>
        <v>1.4934712613833381</v>
      </c>
      <c r="Z118" s="10">
        <f t="shared" si="28"/>
        <v>1.4934712613833381</v>
      </c>
      <c r="AA118" s="10">
        <f t="shared" si="29"/>
        <v>1</v>
      </c>
      <c r="AB118" s="10">
        <f t="shared" si="30"/>
        <v>1.1946263909394317</v>
      </c>
      <c r="AC118" s="10">
        <f t="shared" si="31"/>
        <v>1.5382774463582296</v>
      </c>
      <c r="AD118" s="10">
        <f t="shared" si="32"/>
        <v>12</v>
      </c>
      <c r="AE118" s="5" t="s">
        <v>325</v>
      </c>
      <c r="AF118" s="26"/>
      <c r="AG118" s="26"/>
      <c r="AH118" s="26"/>
      <c r="AI118" s="26"/>
      <c r="AJ118" s="26"/>
      <c r="AK118" s="26"/>
      <c r="AL118" s="26">
        <v>1.1546151646085583</v>
      </c>
      <c r="AM118" s="26">
        <v>1.1552428220694375</v>
      </c>
      <c r="AN118" s="26">
        <v>1.1352067176190823</v>
      </c>
      <c r="AO118" s="26">
        <v>1.0810755260267768</v>
      </c>
      <c r="AP118" s="26">
        <v>1.243984539182355</v>
      </c>
      <c r="AQ118" s="26">
        <v>1.1468301748660079</v>
      </c>
      <c r="AR118" s="26">
        <v>1.0633687880767526</v>
      </c>
      <c r="AS118" s="26">
        <v>1.1076945911657357</v>
      </c>
      <c r="AT118" s="26">
        <v>1.0623799420260445</v>
      </c>
      <c r="AU118" s="26"/>
      <c r="AV118" s="26">
        <v>0.92901331031001122</v>
      </c>
      <c r="AW118" s="26"/>
      <c r="AX118" s="26"/>
      <c r="AY118" s="26"/>
      <c r="AZ118" s="26"/>
      <c r="BA118" s="26"/>
      <c r="BB118" s="26">
        <v>1.0035582421579063</v>
      </c>
      <c r="BC118" s="26"/>
      <c r="BD118" s="26"/>
      <c r="BE118" s="26"/>
      <c r="BF118" s="26"/>
      <c r="BG118" s="26"/>
      <c r="BH118" s="26"/>
      <c r="BI118" s="26">
        <v>1.2914051893201628</v>
      </c>
      <c r="BJ118" s="26">
        <v>0.97730657043625957</v>
      </c>
      <c r="BK118" s="26">
        <v>1.1724663134287669</v>
      </c>
      <c r="BL118" s="26"/>
      <c r="BM118" s="26">
        <v>1.3427320498774216</v>
      </c>
      <c r="BN118" s="26">
        <v>1.3244839482248416</v>
      </c>
      <c r="BO118" s="26"/>
      <c r="BP118" s="26">
        <v>1.5360114145124946</v>
      </c>
      <c r="BQ118" s="26">
        <v>1.5350900536251595</v>
      </c>
      <c r="BR118" s="26">
        <v>1.4049896122304495</v>
      </c>
      <c r="BS118" s="26">
        <v>1.4196887949922639</v>
      </c>
      <c r="BT118" s="26">
        <v>1.4361363107323364</v>
      </c>
      <c r="BU118" s="26">
        <v>1.4206928322613162</v>
      </c>
      <c r="BV118" s="26">
        <v>1.3598122128337322</v>
      </c>
      <c r="BW118" s="26">
        <v>1.3180146381717237</v>
      </c>
      <c r="BX118" s="26">
        <v>1.3388112539933303</v>
      </c>
      <c r="BY118" s="26">
        <v>1.3552202758936438</v>
      </c>
      <c r="BZ118" s="26">
        <v>1.4749788785851994</v>
      </c>
      <c r="CA118" s="26">
        <v>1.3660678419398677</v>
      </c>
      <c r="CB118" s="26">
        <v>1.3614336236338755</v>
      </c>
      <c r="CC118" s="26">
        <v>1.3754433781955395</v>
      </c>
      <c r="CD118" s="26">
        <v>1.3395445103687245</v>
      </c>
      <c r="CE118" s="26">
        <v>1.3364278729737564</v>
      </c>
      <c r="CF118" s="26">
        <v>1.3194314314206148</v>
      </c>
      <c r="CG118" s="26"/>
      <c r="CH118" s="26"/>
      <c r="CI118" s="26"/>
      <c r="CJ118" s="26"/>
      <c r="CK118" s="26"/>
      <c r="CL118" s="26"/>
      <c r="CM118" s="26"/>
      <c r="CN118" s="26"/>
      <c r="CO118" s="26"/>
      <c r="CP118" s="26">
        <v>1.3341240530996217</v>
      </c>
      <c r="CQ118" s="26">
        <v>1.1445063250748919</v>
      </c>
      <c r="CR118" s="26">
        <v>1.3025298134152854</v>
      </c>
      <c r="CS118" s="26">
        <v>1.1532765748555214</v>
      </c>
      <c r="CT118" s="26">
        <v>1.2041775798699572</v>
      </c>
      <c r="CU118" s="26">
        <v>1.3883124368513799</v>
      </c>
      <c r="CV118" s="26">
        <v>1.2254832469747683</v>
      </c>
      <c r="CW118" s="26">
        <v>1.1306280488092419</v>
      </c>
      <c r="CX118" s="26">
        <v>1.3018002154531623</v>
      </c>
      <c r="CY118" s="26">
        <v>1.2812076382884359</v>
      </c>
      <c r="CZ118" s="26">
        <v>1.2450303476087923</v>
      </c>
      <c r="DA118" s="26">
        <v>1.2830289476645029</v>
      </c>
      <c r="DB118" s="26">
        <v>1.3590628007906977</v>
      </c>
      <c r="DC118" s="26"/>
      <c r="DD118" s="26">
        <v>1.2746171008049065</v>
      </c>
      <c r="DE118" s="26">
        <v>1.2663933253955457</v>
      </c>
      <c r="DF118" s="26"/>
      <c r="DG118" s="26"/>
      <c r="DH118" s="26">
        <v>1.3064881103018782</v>
      </c>
      <c r="DI118" s="26">
        <v>1.3619729597638883</v>
      </c>
      <c r="DJ118" s="26">
        <v>1.3226545610917324</v>
      </c>
      <c r="DK118" s="26">
        <v>1.2852333602140309</v>
      </c>
      <c r="DL118" s="26">
        <v>1.2638235973826846</v>
      </c>
      <c r="DM118" s="26">
        <v>1.1720962758657822</v>
      </c>
      <c r="DN118" s="26">
        <v>1.1933322097708472</v>
      </c>
      <c r="DO118" s="26">
        <v>1.3456615589529073</v>
      </c>
      <c r="DP118" s="26">
        <v>1.3492606182057434</v>
      </c>
      <c r="DQ118" s="26">
        <v>1.1961119878987696</v>
      </c>
      <c r="DR118" s="26">
        <v>1.226233108579055</v>
      </c>
      <c r="DS118" s="26">
        <v>1.2515899585907384</v>
      </c>
      <c r="DT118" s="26"/>
      <c r="DU118" s="26"/>
      <c r="DV118" s="26">
        <v>1.4934712613833381</v>
      </c>
      <c r="DW118" s="26"/>
      <c r="DX118" s="26"/>
      <c r="DY118" s="26">
        <v>1.1946263909394317</v>
      </c>
      <c r="DZ118" s="26">
        <v>1.282791002213215</v>
      </c>
      <c r="EA118" s="26">
        <v>1.4451289919695254</v>
      </c>
      <c r="EB118" s="26">
        <v>1.4767653123698663</v>
      </c>
      <c r="EC118" s="26">
        <v>1.4922015723807365</v>
      </c>
      <c r="ED118" s="26">
        <v>1.5382774463582296</v>
      </c>
      <c r="EE118" s="26">
        <v>1.4063696903778462</v>
      </c>
      <c r="EF118" s="26">
        <v>1.3608447486451276</v>
      </c>
      <c r="EG118" s="26">
        <v>1.531392646005642</v>
      </c>
      <c r="EH118" s="26"/>
      <c r="EI118" s="26">
        <v>1.3430425000372388</v>
      </c>
      <c r="EJ118" s="26">
        <v>1.5109229751235815</v>
      </c>
      <c r="EK118" s="26"/>
      <c r="EL118" s="26">
        <v>1.4260913860934279</v>
      </c>
      <c r="EM118" s="26">
        <v>2.250709536434726</v>
      </c>
      <c r="EN118" s="26">
        <v>1.8008049004563311</v>
      </c>
      <c r="EO118" s="26">
        <v>0.95170153080003106</v>
      </c>
      <c r="EP118" s="26">
        <v>1.0037027748376817</v>
      </c>
      <c r="EQ118" s="26">
        <v>1.0049485505454978</v>
      </c>
      <c r="ER118" s="26">
        <v>1.7259627587927007</v>
      </c>
      <c r="ES118" s="26">
        <v>1.2119662171355217</v>
      </c>
      <c r="ET118" s="26">
        <v>1.2048051245914209</v>
      </c>
      <c r="EU118" s="26">
        <v>1.1151100982620024</v>
      </c>
      <c r="EV118" s="26">
        <v>1.0663386411207583</v>
      </c>
      <c r="EW118" s="26">
        <v>1.4658227910647152</v>
      </c>
      <c r="EX118" s="26">
        <v>1.1554066336589697</v>
      </c>
      <c r="EY118" s="26">
        <v>0.99631740444031125</v>
      </c>
      <c r="EZ118" s="26">
        <v>0.92059558645247097</v>
      </c>
      <c r="FA118" s="26">
        <v>0.94393776261861584</v>
      </c>
      <c r="FB118" s="26">
        <v>1.3350116939354557</v>
      </c>
      <c r="FC118" s="26">
        <v>1.0055137486210322</v>
      </c>
      <c r="FD118" s="26">
        <v>1.0536058593869422</v>
      </c>
      <c r="FE118" s="26">
        <v>1.133647655288073</v>
      </c>
      <c r="FF118" s="26">
        <v>1.1450049255880725</v>
      </c>
      <c r="FG118" s="26">
        <v>1.1757969275417708</v>
      </c>
      <c r="FH118" s="26">
        <v>1.1170499902515494</v>
      </c>
      <c r="FI118" s="26"/>
      <c r="FJ118" s="26">
        <v>1.0427102817403286</v>
      </c>
      <c r="FK118" s="26">
        <v>0.97115649639919543</v>
      </c>
    </row>
    <row r="119" spans="3:167" x14ac:dyDescent="0.2">
      <c r="C119" s="10">
        <f t="shared" si="33"/>
        <v>1.1204254707600096</v>
      </c>
      <c r="D119" s="10">
        <f t="shared" si="34"/>
        <v>1.5825669959011384</v>
      </c>
      <c r="E119" s="10" cm="1">
        <f t="array" ref="E119">gavg(AF119,EL119)</f>
        <v>1.3580530916970088</v>
      </c>
      <c r="F119" s="10" cm="1">
        <f t="array" ref="F119">lnstdev(AF119,EL119)</f>
        <v>7.7527741607318679E-2</v>
      </c>
      <c r="G119" s="10">
        <f t="shared" si="35"/>
        <v>73</v>
      </c>
      <c r="H119" s="10">
        <f t="shared" si="36"/>
        <v>1.1204254707600096</v>
      </c>
      <c r="I119" s="10">
        <f t="shared" si="37"/>
        <v>1.1863752991645538</v>
      </c>
      <c r="J119" s="10"/>
      <c r="K119" s="10"/>
      <c r="L119" s="10">
        <f t="shared" si="38"/>
        <v>4</v>
      </c>
      <c r="M119" s="10">
        <f t="shared" si="39"/>
        <v>1.1840183060806142</v>
      </c>
      <c r="N119" s="10">
        <f t="shared" si="40"/>
        <v>1.4034431980778217</v>
      </c>
      <c r="O119" s="10">
        <f t="shared" si="41"/>
        <v>10</v>
      </c>
      <c r="P119" s="10">
        <f t="shared" si="42"/>
        <v>1.3436627129073595</v>
      </c>
      <c r="Q119" s="10">
        <f t="shared" si="43"/>
        <v>1.5825669959011384</v>
      </c>
      <c r="R119" s="10">
        <f t="shared" si="44"/>
        <v>19</v>
      </c>
      <c r="S119" s="10">
        <f t="shared" si="45"/>
        <v>1.2155872409902726</v>
      </c>
      <c r="T119" s="10">
        <f t="shared" si="46"/>
        <v>1.4624676068812088</v>
      </c>
      <c r="U119" s="10">
        <f t="shared" si="47"/>
        <v>27</v>
      </c>
      <c r="V119" s="10">
        <f t="shared" si="24"/>
        <v>1.3507042376109819</v>
      </c>
      <c r="W119" s="10">
        <f t="shared" si="25"/>
        <v>1.5395436565339897</v>
      </c>
      <c r="X119" s="10">
        <f t="shared" si="26"/>
        <v>13</v>
      </c>
      <c r="Y119" s="10">
        <f t="shared" si="27"/>
        <v>1.4352855133981532</v>
      </c>
      <c r="Z119" s="10">
        <f t="shared" si="28"/>
        <v>1.4352855133981532</v>
      </c>
      <c r="AA119" s="10">
        <f t="shared" si="29"/>
        <v>1</v>
      </c>
      <c r="AB119" s="10">
        <f t="shared" si="30"/>
        <v>1.3507042376109819</v>
      </c>
      <c r="AC119" s="10">
        <f t="shared" si="31"/>
        <v>1.5395436565339897</v>
      </c>
      <c r="AD119" s="10">
        <f t="shared" si="32"/>
        <v>12</v>
      </c>
      <c r="AE119" s="5" t="s">
        <v>323</v>
      </c>
      <c r="AF119" s="26"/>
      <c r="AG119" s="26"/>
      <c r="AH119" s="26"/>
      <c r="AI119" s="26"/>
      <c r="AJ119" s="26"/>
      <c r="AK119" s="26"/>
      <c r="AL119" s="26">
        <v>1.1778311010499687</v>
      </c>
      <c r="AM119" s="26">
        <v>1.1204254707600096</v>
      </c>
      <c r="AN119" s="26">
        <v>1.1863752991645538</v>
      </c>
      <c r="AO119" s="26">
        <v>1.1860752782030157</v>
      </c>
      <c r="AP119" s="26">
        <v>1.4034431980778217</v>
      </c>
      <c r="AQ119" s="26">
        <v>1.2816813065199917</v>
      </c>
      <c r="AR119" s="26">
        <v>1.286391061910745</v>
      </c>
      <c r="AS119" s="26">
        <v>1.206258002146793</v>
      </c>
      <c r="AT119" s="26">
        <v>1.2025047874901735</v>
      </c>
      <c r="AU119" s="26"/>
      <c r="AV119" s="26">
        <v>1.1840183060806142</v>
      </c>
      <c r="AW119" s="26"/>
      <c r="AX119" s="26"/>
      <c r="AY119" s="26"/>
      <c r="AZ119" s="26"/>
      <c r="BA119" s="26"/>
      <c r="BB119" s="26">
        <v>1.2211212565127427</v>
      </c>
      <c r="BC119" s="26"/>
      <c r="BD119" s="26"/>
      <c r="BE119" s="26"/>
      <c r="BF119" s="26"/>
      <c r="BG119" s="26"/>
      <c r="BH119" s="26"/>
      <c r="BI119" s="26">
        <v>1.3494287589949381</v>
      </c>
      <c r="BJ119" s="26">
        <v>1.2608125072525775</v>
      </c>
      <c r="BK119" s="26">
        <v>1.2873587069348054</v>
      </c>
      <c r="BL119" s="26"/>
      <c r="BM119" s="26">
        <v>1.3522405806887876</v>
      </c>
      <c r="BN119" s="26">
        <v>1.3904971132406805</v>
      </c>
      <c r="BO119" s="26"/>
      <c r="BP119" s="26">
        <v>1.4601216011697475</v>
      </c>
      <c r="BQ119" s="26">
        <v>1.5825669959011384</v>
      </c>
      <c r="BR119" s="26">
        <v>1.4412150352160242</v>
      </c>
      <c r="BS119" s="26">
        <v>1.4773890676176524</v>
      </c>
      <c r="BT119" s="26">
        <v>1.4425808777413838</v>
      </c>
      <c r="BU119" s="26">
        <v>1.5020977545688858</v>
      </c>
      <c r="BV119" s="26">
        <v>1.4153171988769362</v>
      </c>
      <c r="BW119" s="26">
        <v>1.3996632734126189</v>
      </c>
      <c r="BX119" s="26">
        <v>1.3872127296236549</v>
      </c>
      <c r="BY119" s="26">
        <v>1.4624068809532114</v>
      </c>
      <c r="BZ119" s="26">
        <v>1.4172620333102279</v>
      </c>
      <c r="CA119" s="26">
        <v>1.4397026598697182</v>
      </c>
      <c r="CB119" s="26">
        <v>1.4059594947583229</v>
      </c>
      <c r="CC119" s="26">
        <v>1.493362799866488</v>
      </c>
      <c r="CD119" s="26">
        <v>1.4356676026820039</v>
      </c>
      <c r="CE119" s="26">
        <v>1.4159306747500897</v>
      </c>
      <c r="CF119" s="26">
        <v>1.3436627129073595</v>
      </c>
      <c r="CG119" s="26"/>
      <c r="CH119" s="26"/>
      <c r="CI119" s="26"/>
      <c r="CJ119" s="26"/>
      <c r="CK119" s="26"/>
      <c r="CL119" s="26"/>
      <c r="CM119" s="26"/>
      <c r="CN119" s="26"/>
      <c r="CO119" s="26"/>
      <c r="CP119" s="26">
        <v>1.4624676068812088</v>
      </c>
      <c r="CQ119" s="26">
        <v>1.3158449050773739</v>
      </c>
      <c r="CR119" s="26">
        <v>1.2898183490576371</v>
      </c>
      <c r="CS119" s="26">
        <v>1.2155872409902726</v>
      </c>
      <c r="CT119" s="26">
        <v>1.2717411771793685</v>
      </c>
      <c r="CU119" s="26">
        <v>1.2574130530339505</v>
      </c>
      <c r="CV119" s="26">
        <v>1.3750714194021199</v>
      </c>
      <c r="CW119" s="26">
        <v>1.223529938419829</v>
      </c>
      <c r="CX119" s="26">
        <v>1.409354946080154</v>
      </c>
      <c r="CY119" s="26">
        <v>1.3195841701267326</v>
      </c>
      <c r="CZ119" s="26">
        <v>1.3593029058111901</v>
      </c>
      <c r="DA119" s="26">
        <v>1.2858932612595446</v>
      </c>
      <c r="DB119" s="26">
        <v>1.2664541675893268</v>
      </c>
      <c r="DC119" s="26"/>
      <c r="DD119" s="26">
        <v>1.3134146237082192</v>
      </c>
      <c r="DE119" s="26">
        <v>1.3466467780260403</v>
      </c>
      <c r="DF119" s="26"/>
      <c r="DG119" s="26"/>
      <c r="DH119" s="26">
        <v>1.2904599161479313</v>
      </c>
      <c r="DI119" s="26">
        <v>1.2658194697035896</v>
      </c>
      <c r="DJ119" s="26">
        <v>1.3338255595899347</v>
      </c>
      <c r="DK119" s="26">
        <v>1.3091375126079101</v>
      </c>
      <c r="DL119" s="26">
        <v>1.2459106167053371</v>
      </c>
      <c r="DM119" s="26">
        <v>1.4404363474167055</v>
      </c>
      <c r="DN119" s="26">
        <v>1.3617449292491017</v>
      </c>
      <c r="DO119" s="26">
        <v>1.3855721429156562</v>
      </c>
      <c r="DP119" s="26">
        <v>1.4120442189166551</v>
      </c>
      <c r="DQ119" s="26">
        <v>1.320202413220658</v>
      </c>
      <c r="DR119" s="26">
        <v>1.2536675095259371</v>
      </c>
      <c r="DS119" s="26">
        <v>1.3546447071174652</v>
      </c>
      <c r="DT119" s="26"/>
      <c r="DU119" s="26"/>
      <c r="DV119" s="26">
        <v>1.4352855133981532</v>
      </c>
      <c r="DW119" s="26"/>
      <c r="DX119" s="26"/>
      <c r="DY119" s="26">
        <v>1.3507042376109819</v>
      </c>
      <c r="DZ119" s="26">
        <v>1.467802599610132</v>
      </c>
      <c r="EA119" s="26">
        <v>1.4810196113930421</v>
      </c>
      <c r="EB119" s="26">
        <v>1.5253664912372322</v>
      </c>
      <c r="EC119" s="26">
        <v>1.5112501526744344</v>
      </c>
      <c r="ED119" s="26">
        <v>1.4464244536784299</v>
      </c>
      <c r="EE119" s="26">
        <v>1.5395436565339897</v>
      </c>
      <c r="EF119" s="26">
        <v>1.4471817740768749</v>
      </c>
      <c r="EG119" s="26">
        <v>1.5127155044542606</v>
      </c>
      <c r="EH119" s="26"/>
      <c r="EI119" s="26">
        <v>1.4169464248572921</v>
      </c>
      <c r="EJ119" s="26">
        <v>1.5301149282684972</v>
      </c>
      <c r="EK119" s="26"/>
      <c r="EL119" s="26">
        <v>1.4612513318059788</v>
      </c>
      <c r="EM119" s="26">
        <v>2.3555228174111753</v>
      </c>
      <c r="EN119" s="26">
        <v>1.2288443443323973</v>
      </c>
      <c r="EO119" s="26">
        <v>0.75971589923463978</v>
      </c>
      <c r="EP119" s="26">
        <v>0.73631840879485411</v>
      </c>
      <c r="EQ119" s="26">
        <v>0.67254327754845866</v>
      </c>
      <c r="ER119" s="26">
        <v>2.4240011038868636</v>
      </c>
      <c r="ES119" s="26">
        <v>0.88160957630415948</v>
      </c>
      <c r="ET119" s="26">
        <v>0.64195306495446136</v>
      </c>
      <c r="EU119" s="26">
        <v>0.78661298077731245</v>
      </c>
      <c r="EV119" s="26">
        <v>0.69018909374960957</v>
      </c>
      <c r="EW119" s="26">
        <v>2.2512450394174919</v>
      </c>
      <c r="EX119" s="26">
        <v>0.93226328130593783</v>
      </c>
      <c r="EY119" s="26">
        <v>1.0460109676771954</v>
      </c>
      <c r="EZ119" s="26">
        <v>1.0317964254659659</v>
      </c>
      <c r="FA119" s="26">
        <v>1.0997780290846537</v>
      </c>
      <c r="FB119" s="26">
        <v>2.3630455827736729</v>
      </c>
      <c r="FC119" s="26">
        <v>0.84577621446140483</v>
      </c>
      <c r="FD119" s="26">
        <v>1.0913460741843855</v>
      </c>
      <c r="FE119" s="26">
        <v>1.2386279318086961</v>
      </c>
      <c r="FF119" s="26">
        <v>1.1823324756184777</v>
      </c>
      <c r="FG119" s="26">
        <v>1.5228652911116727</v>
      </c>
      <c r="FH119" s="26">
        <v>1.3208439873640458</v>
      </c>
      <c r="FI119" s="26"/>
      <c r="FJ119" s="26">
        <v>1.2695588229820374</v>
      </c>
      <c r="FK119" s="26">
        <v>1.1715785623049815</v>
      </c>
    </row>
    <row r="120" spans="3:167" x14ac:dyDescent="0.2">
      <c r="C120" s="10">
        <f t="shared" si="33"/>
        <v>350.09201380085847</v>
      </c>
      <c r="D120" s="10">
        <f t="shared" si="34"/>
        <v>3166.6666666666665</v>
      </c>
      <c r="E120" s="10" cm="1">
        <f t="array" ref="E120">gavg(AF120,EL120)</f>
        <v>1102.1314093168075</v>
      </c>
      <c r="F120" s="10" cm="1">
        <f t="array" ref="F120">lnstdev(AF120,EL120)</f>
        <v>0.77293928150415736</v>
      </c>
      <c r="G120" s="10">
        <f t="shared" si="35"/>
        <v>73</v>
      </c>
      <c r="H120" s="10">
        <f t="shared" si="36"/>
        <v>350.09201380085847</v>
      </c>
      <c r="I120" s="10">
        <f t="shared" si="37"/>
        <v>350.09201380085847</v>
      </c>
      <c r="J120" s="10"/>
      <c r="K120" s="10"/>
      <c r="L120" s="10">
        <f t="shared" si="38"/>
        <v>4</v>
      </c>
      <c r="M120" s="10">
        <f t="shared" si="39"/>
        <v>481.50001648440991</v>
      </c>
      <c r="N120" s="10">
        <f t="shared" si="40"/>
        <v>481.50001648440991</v>
      </c>
      <c r="O120" s="10">
        <f t="shared" si="41"/>
        <v>10</v>
      </c>
      <c r="P120" s="10">
        <f t="shared" si="42"/>
        <v>3166.6666666666665</v>
      </c>
      <c r="Q120" s="10">
        <f t="shared" si="43"/>
        <v>3166.6666666666665</v>
      </c>
      <c r="R120" s="10">
        <f t="shared" si="44"/>
        <v>19</v>
      </c>
      <c r="S120" s="10">
        <f t="shared" si="45"/>
        <v>1266.6666666666667</v>
      </c>
      <c r="T120" s="10">
        <f t="shared" si="46"/>
        <v>1266.6666666666667</v>
      </c>
      <c r="U120" s="10">
        <f t="shared" si="47"/>
        <v>27</v>
      </c>
      <c r="V120" s="10">
        <f t="shared" si="24"/>
        <v>475</v>
      </c>
      <c r="W120" s="10">
        <f t="shared" si="25"/>
        <v>475</v>
      </c>
      <c r="X120" s="10">
        <f t="shared" si="26"/>
        <v>13</v>
      </c>
      <c r="Y120" s="10">
        <f t="shared" si="27"/>
        <v>475</v>
      </c>
      <c r="Z120" s="10">
        <f t="shared" si="28"/>
        <v>475</v>
      </c>
      <c r="AA120" s="10">
        <f t="shared" si="29"/>
        <v>1</v>
      </c>
      <c r="AB120" s="10">
        <f t="shared" si="30"/>
        <v>475</v>
      </c>
      <c r="AC120" s="10">
        <f t="shared" si="31"/>
        <v>475</v>
      </c>
      <c r="AD120" s="10">
        <f t="shared" si="32"/>
        <v>12</v>
      </c>
      <c r="AE120" s="5" t="s">
        <v>343</v>
      </c>
      <c r="AF120" s="26"/>
      <c r="AG120" s="26"/>
      <c r="AH120" s="26"/>
      <c r="AI120" s="26"/>
      <c r="AJ120" s="26"/>
      <c r="AK120" s="26"/>
      <c r="AL120" s="26">
        <v>350.09201380085847</v>
      </c>
      <c r="AM120" s="26">
        <v>350.09201380085847</v>
      </c>
      <c r="AN120" s="26">
        <v>350.09201380085847</v>
      </c>
      <c r="AO120" s="26">
        <v>350.09201380085847</v>
      </c>
      <c r="AP120" s="26">
        <v>481.50001648440991</v>
      </c>
      <c r="AQ120" s="26">
        <v>481.50001648440991</v>
      </c>
      <c r="AR120" s="26">
        <v>481.50001648440991</v>
      </c>
      <c r="AS120" s="26">
        <v>481.50001648440991</v>
      </c>
      <c r="AT120" s="26">
        <v>481.50001648440991</v>
      </c>
      <c r="AU120" s="26"/>
      <c r="AV120" s="26">
        <v>481.50001648440991</v>
      </c>
      <c r="AW120" s="26"/>
      <c r="AX120" s="26"/>
      <c r="AY120" s="26"/>
      <c r="AZ120" s="26"/>
      <c r="BA120" s="26"/>
      <c r="BB120" s="26">
        <v>481.50001648440991</v>
      </c>
      <c r="BC120" s="26"/>
      <c r="BD120" s="26"/>
      <c r="BE120" s="26"/>
      <c r="BF120" s="26"/>
      <c r="BG120" s="26"/>
      <c r="BH120" s="26"/>
      <c r="BI120" s="26">
        <v>481.50001648440991</v>
      </c>
      <c r="BJ120" s="26">
        <v>481.50001648440991</v>
      </c>
      <c r="BK120" s="26">
        <v>481.50001648440991</v>
      </c>
      <c r="BL120" s="26"/>
      <c r="BM120" s="26">
        <v>3166.6666666666665</v>
      </c>
      <c r="BN120" s="26">
        <v>3166.6666666666665</v>
      </c>
      <c r="BO120" s="26"/>
      <c r="BP120" s="26">
        <v>3166.6666666666665</v>
      </c>
      <c r="BQ120" s="26">
        <v>3166.6666666666665</v>
      </c>
      <c r="BR120" s="26">
        <v>3166.6666666666665</v>
      </c>
      <c r="BS120" s="26">
        <v>3166.6666666666665</v>
      </c>
      <c r="BT120" s="26">
        <v>3166.6666666666665</v>
      </c>
      <c r="BU120" s="26">
        <v>3166.6666666666665</v>
      </c>
      <c r="BV120" s="26">
        <v>3166.6666666666665</v>
      </c>
      <c r="BW120" s="26">
        <v>3166.6666666666665</v>
      </c>
      <c r="BX120" s="26">
        <v>3166.6666666666665</v>
      </c>
      <c r="BY120" s="26">
        <v>3166.6666666666665</v>
      </c>
      <c r="BZ120" s="26">
        <v>3166.6666666666665</v>
      </c>
      <c r="CA120" s="26">
        <v>3166.6666666666665</v>
      </c>
      <c r="CB120" s="26">
        <v>3166.6666666666665</v>
      </c>
      <c r="CC120" s="26">
        <v>3166.6666666666665</v>
      </c>
      <c r="CD120" s="26">
        <v>3166.6666666666665</v>
      </c>
      <c r="CE120" s="26">
        <v>3166.6666666666665</v>
      </c>
      <c r="CF120" s="26">
        <v>3166.6666666666665</v>
      </c>
      <c r="CG120" s="26"/>
      <c r="CH120" s="26"/>
      <c r="CI120" s="26"/>
      <c r="CJ120" s="26"/>
      <c r="CK120" s="26"/>
      <c r="CL120" s="26"/>
      <c r="CM120" s="26"/>
      <c r="CN120" s="26"/>
      <c r="CO120" s="26"/>
      <c r="CP120" s="26">
        <v>1266.6666666666667</v>
      </c>
      <c r="CQ120" s="26">
        <v>1266.6666666666667</v>
      </c>
      <c r="CR120" s="26">
        <v>1266.6666666666667</v>
      </c>
      <c r="CS120" s="26">
        <v>1266.6666666666667</v>
      </c>
      <c r="CT120" s="26">
        <v>1266.6666666666667</v>
      </c>
      <c r="CU120" s="26">
        <v>1266.6666666666667</v>
      </c>
      <c r="CV120" s="26">
        <v>1266.6666666666667</v>
      </c>
      <c r="CW120" s="26">
        <v>1266.6666666666667</v>
      </c>
      <c r="CX120" s="26">
        <v>1266.6666666666667</v>
      </c>
      <c r="CY120" s="26">
        <v>1266.6666666666667</v>
      </c>
      <c r="CZ120" s="26">
        <v>1266.6666666666667</v>
      </c>
      <c r="DA120" s="26">
        <v>1266.6666666666667</v>
      </c>
      <c r="DB120" s="26">
        <v>1266.6666666666667</v>
      </c>
      <c r="DC120" s="26"/>
      <c r="DD120" s="26">
        <v>1266.6666666666667</v>
      </c>
      <c r="DE120" s="26">
        <v>1266.6666666666667</v>
      </c>
      <c r="DF120" s="26"/>
      <c r="DG120" s="26"/>
      <c r="DH120" s="26">
        <v>1266.6666666666667</v>
      </c>
      <c r="DI120" s="26">
        <v>1266.6666666666667</v>
      </c>
      <c r="DJ120" s="26">
        <v>1266.6666666666667</v>
      </c>
      <c r="DK120" s="26">
        <v>1266.6666666666667</v>
      </c>
      <c r="DL120" s="26">
        <v>1266.6666666666667</v>
      </c>
      <c r="DM120" s="26">
        <v>1266.6666666666667</v>
      </c>
      <c r="DN120" s="26">
        <v>1266.6666666666667</v>
      </c>
      <c r="DO120" s="26">
        <v>1266.6666666666667</v>
      </c>
      <c r="DP120" s="26">
        <v>1266.6666666666667</v>
      </c>
      <c r="DQ120" s="26">
        <v>1266.6666666666667</v>
      </c>
      <c r="DR120" s="26">
        <v>1266.6666666666667</v>
      </c>
      <c r="DS120" s="26">
        <v>1266.6666666666667</v>
      </c>
      <c r="DT120" s="26"/>
      <c r="DU120" s="26"/>
      <c r="DV120" s="26">
        <v>475</v>
      </c>
      <c r="DW120" s="26"/>
      <c r="DX120" s="26"/>
      <c r="DY120" s="26">
        <v>475</v>
      </c>
      <c r="DZ120" s="26">
        <v>475</v>
      </c>
      <c r="EA120" s="26">
        <v>475</v>
      </c>
      <c r="EB120" s="26">
        <v>475</v>
      </c>
      <c r="EC120" s="26">
        <v>475</v>
      </c>
      <c r="ED120" s="26">
        <v>475</v>
      </c>
      <c r="EE120" s="26">
        <v>475</v>
      </c>
      <c r="EF120" s="26">
        <v>475</v>
      </c>
      <c r="EG120" s="26">
        <v>475</v>
      </c>
      <c r="EH120" s="26"/>
      <c r="EI120" s="26">
        <v>475</v>
      </c>
      <c r="EJ120" s="26">
        <v>475</v>
      </c>
      <c r="EK120" s="26"/>
      <c r="EL120" s="26">
        <v>475</v>
      </c>
      <c r="EM120" s="26">
        <v>475</v>
      </c>
      <c r="EN120" s="26">
        <v>475</v>
      </c>
      <c r="EO120" s="26">
        <v>475</v>
      </c>
      <c r="EP120" s="26">
        <v>475</v>
      </c>
      <c r="EQ120" s="26">
        <v>475</v>
      </c>
      <c r="ER120" s="26">
        <v>475</v>
      </c>
      <c r="ES120" s="26">
        <v>475</v>
      </c>
      <c r="ET120" s="26">
        <v>475</v>
      </c>
      <c r="EU120" s="26">
        <v>475</v>
      </c>
      <c r="EV120" s="26">
        <v>475</v>
      </c>
      <c r="EW120" s="26">
        <v>475</v>
      </c>
      <c r="EX120" s="26">
        <v>475</v>
      </c>
      <c r="EY120" s="26">
        <v>475</v>
      </c>
      <c r="EZ120" s="26">
        <v>475</v>
      </c>
      <c r="FA120" s="26">
        <v>475</v>
      </c>
      <c r="FB120" s="26">
        <v>475</v>
      </c>
      <c r="FC120" s="26">
        <v>475</v>
      </c>
      <c r="FD120" s="26">
        <v>475</v>
      </c>
      <c r="FE120" s="26">
        <v>475</v>
      </c>
      <c r="FF120" s="26">
        <v>475</v>
      </c>
      <c r="FG120" s="26">
        <v>475</v>
      </c>
      <c r="FH120" s="26">
        <v>475</v>
      </c>
      <c r="FI120" s="26"/>
      <c r="FJ120" s="26">
        <v>475</v>
      </c>
      <c r="FK120" s="26">
        <v>475</v>
      </c>
    </row>
    <row r="121" spans="3:167" x14ac:dyDescent="0.2">
      <c r="C121" s="10">
        <f t="shared" si="33"/>
        <v>10.807393483709273</v>
      </c>
      <c r="D121" s="10">
        <f t="shared" si="34"/>
        <v>185.47790902233024</v>
      </c>
      <c r="E121" s="10" cm="1">
        <f t="array" ref="E121">gavg(AF121,EL121)</f>
        <v>28.809240079382011</v>
      </c>
      <c r="F121" s="10" cm="1">
        <f t="array" ref="F121">lnstdev(AF121,EL121)</f>
        <v>1.1590696567560481</v>
      </c>
      <c r="G121" s="10">
        <f t="shared" si="35"/>
        <v>73</v>
      </c>
      <c r="H121" s="10">
        <f t="shared" si="36"/>
        <v>25.144813897759033</v>
      </c>
      <c r="I121" s="10">
        <f t="shared" si="37"/>
        <v>25.144813897759033</v>
      </c>
      <c r="J121" s="10"/>
      <c r="K121" s="10"/>
      <c r="L121" s="10">
        <f t="shared" si="38"/>
        <v>4</v>
      </c>
      <c r="M121" s="10">
        <f t="shared" si="39"/>
        <v>185.47790902233024</v>
      </c>
      <c r="N121" s="10">
        <f t="shared" si="40"/>
        <v>185.47790902233024</v>
      </c>
      <c r="O121" s="10">
        <f t="shared" si="41"/>
        <v>10</v>
      </c>
      <c r="P121" s="10">
        <f t="shared" si="42"/>
        <v>87.649797570850197</v>
      </c>
      <c r="Q121" s="10">
        <f t="shared" si="43"/>
        <v>87.649797570850197</v>
      </c>
      <c r="R121" s="10">
        <f t="shared" si="44"/>
        <v>19</v>
      </c>
      <c r="S121" s="10">
        <f t="shared" si="45"/>
        <v>10.807393483709273</v>
      </c>
      <c r="T121" s="10">
        <f t="shared" si="46"/>
        <v>10.807393483709273</v>
      </c>
      <c r="U121" s="10">
        <f t="shared" si="47"/>
        <v>27</v>
      </c>
      <c r="V121" s="10">
        <f t="shared" si="24"/>
        <v>10.807393483709273</v>
      </c>
      <c r="W121" s="10">
        <f t="shared" si="25"/>
        <v>10.807393483709273</v>
      </c>
      <c r="X121" s="10">
        <f t="shared" si="26"/>
        <v>13</v>
      </c>
      <c r="Y121" s="10">
        <f t="shared" si="27"/>
        <v>10.807393483709273</v>
      </c>
      <c r="Z121" s="10">
        <f t="shared" si="28"/>
        <v>10.807393483709273</v>
      </c>
      <c r="AA121" s="10">
        <f t="shared" si="29"/>
        <v>1</v>
      </c>
      <c r="AB121" s="10">
        <f t="shared" si="30"/>
        <v>10.807393483709273</v>
      </c>
      <c r="AC121" s="10">
        <f t="shared" si="31"/>
        <v>10.807393483709273</v>
      </c>
      <c r="AD121" s="10">
        <f t="shared" si="32"/>
        <v>12</v>
      </c>
      <c r="AE121" s="5" t="s">
        <v>344</v>
      </c>
      <c r="AF121" s="26"/>
      <c r="AG121" s="26"/>
      <c r="AH121" s="26"/>
      <c r="AI121" s="26"/>
      <c r="AJ121" s="26"/>
      <c r="AK121" s="26"/>
      <c r="AL121" s="26">
        <v>25.144813897759033</v>
      </c>
      <c r="AM121" s="26">
        <v>25.144813897759033</v>
      </c>
      <c r="AN121" s="26">
        <v>25.144813897759033</v>
      </c>
      <c r="AO121" s="26">
        <v>25.144813897759033</v>
      </c>
      <c r="AP121" s="26">
        <v>185.47790902233024</v>
      </c>
      <c r="AQ121" s="26">
        <v>185.47790902233024</v>
      </c>
      <c r="AR121" s="26">
        <v>185.47790902233024</v>
      </c>
      <c r="AS121" s="26">
        <v>185.47790902233024</v>
      </c>
      <c r="AT121" s="26">
        <v>185.47790902233024</v>
      </c>
      <c r="AU121" s="26"/>
      <c r="AV121" s="26">
        <v>185.47790902233024</v>
      </c>
      <c r="AW121" s="26"/>
      <c r="AX121" s="26"/>
      <c r="AY121" s="26"/>
      <c r="AZ121" s="26"/>
      <c r="BA121" s="26"/>
      <c r="BB121" s="26">
        <v>185.47790902233024</v>
      </c>
      <c r="BC121" s="26"/>
      <c r="BD121" s="26"/>
      <c r="BE121" s="26"/>
      <c r="BF121" s="26"/>
      <c r="BG121" s="26"/>
      <c r="BH121" s="26"/>
      <c r="BI121" s="26">
        <v>185.47790902233024</v>
      </c>
      <c r="BJ121" s="26">
        <v>185.47790902233024</v>
      </c>
      <c r="BK121" s="26">
        <v>185.47790902233024</v>
      </c>
      <c r="BL121" s="26"/>
      <c r="BM121" s="26">
        <v>87.649797570850197</v>
      </c>
      <c r="BN121" s="26">
        <v>87.649797570850197</v>
      </c>
      <c r="BO121" s="26"/>
      <c r="BP121" s="26">
        <v>87.649797570850197</v>
      </c>
      <c r="BQ121" s="26">
        <v>87.649797570850197</v>
      </c>
      <c r="BR121" s="26">
        <v>87.649797570850197</v>
      </c>
      <c r="BS121" s="26">
        <v>87.649797570850197</v>
      </c>
      <c r="BT121" s="26">
        <v>87.649797570850197</v>
      </c>
      <c r="BU121" s="26">
        <v>87.649797570850197</v>
      </c>
      <c r="BV121" s="26">
        <v>87.649797570850197</v>
      </c>
      <c r="BW121" s="26">
        <v>87.649797570850197</v>
      </c>
      <c r="BX121" s="26">
        <v>87.649797570850197</v>
      </c>
      <c r="BY121" s="26">
        <v>87.649797570850197</v>
      </c>
      <c r="BZ121" s="26">
        <v>87.649797570850197</v>
      </c>
      <c r="CA121" s="26">
        <v>87.649797570850197</v>
      </c>
      <c r="CB121" s="26">
        <v>87.649797570850197</v>
      </c>
      <c r="CC121" s="26">
        <v>87.649797570850197</v>
      </c>
      <c r="CD121" s="26">
        <v>87.649797570850197</v>
      </c>
      <c r="CE121" s="26">
        <v>87.649797570850197</v>
      </c>
      <c r="CF121" s="26">
        <v>87.649797570850197</v>
      </c>
      <c r="CG121" s="26"/>
      <c r="CH121" s="26"/>
      <c r="CI121" s="26"/>
      <c r="CJ121" s="26"/>
      <c r="CK121" s="26"/>
      <c r="CL121" s="26"/>
      <c r="CM121" s="26"/>
      <c r="CN121" s="26"/>
      <c r="CO121" s="26"/>
      <c r="CP121" s="26">
        <v>10.807393483709273</v>
      </c>
      <c r="CQ121" s="26">
        <v>10.807393483709273</v>
      </c>
      <c r="CR121" s="26">
        <v>10.807393483709273</v>
      </c>
      <c r="CS121" s="26">
        <v>10.807393483709273</v>
      </c>
      <c r="CT121" s="26">
        <v>10.807393483709273</v>
      </c>
      <c r="CU121" s="26">
        <v>10.807393483709273</v>
      </c>
      <c r="CV121" s="26">
        <v>10.807393483709273</v>
      </c>
      <c r="CW121" s="26">
        <v>10.807393483709273</v>
      </c>
      <c r="CX121" s="26">
        <v>10.807393483709273</v>
      </c>
      <c r="CY121" s="26">
        <v>10.807393483709273</v>
      </c>
      <c r="CZ121" s="26">
        <v>10.807393483709273</v>
      </c>
      <c r="DA121" s="26">
        <v>10.807393483709273</v>
      </c>
      <c r="DB121" s="26">
        <v>10.807393483709273</v>
      </c>
      <c r="DC121" s="26"/>
      <c r="DD121" s="26">
        <v>10.807393483709273</v>
      </c>
      <c r="DE121" s="26">
        <v>10.807393483709273</v>
      </c>
      <c r="DF121" s="26"/>
      <c r="DG121" s="26"/>
      <c r="DH121" s="26">
        <v>10.807393483709273</v>
      </c>
      <c r="DI121" s="26">
        <v>10.807393483709273</v>
      </c>
      <c r="DJ121" s="26">
        <v>10.807393483709273</v>
      </c>
      <c r="DK121" s="26">
        <v>10.807393483709273</v>
      </c>
      <c r="DL121" s="26">
        <v>10.807393483709273</v>
      </c>
      <c r="DM121" s="26">
        <v>10.807393483709273</v>
      </c>
      <c r="DN121" s="26">
        <v>10.807393483709273</v>
      </c>
      <c r="DO121" s="26">
        <v>10.807393483709273</v>
      </c>
      <c r="DP121" s="26">
        <v>10.807393483709273</v>
      </c>
      <c r="DQ121" s="26">
        <v>10.807393483709273</v>
      </c>
      <c r="DR121" s="26">
        <v>10.807393483709273</v>
      </c>
      <c r="DS121" s="26">
        <v>10.807393483709273</v>
      </c>
      <c r="DT121" s="26"/>
      <c r="DU121" s="26"/>
      <c r="DV121" s="26">
        <v>10.807393483709273</v>
      </c>
      <c r="DW121" s="26"/>
      <c r="DX121" s="26"/>
      <c r="DY121" s="26">
        <v>10.807393483709273</v>
      </c>
      <c r="DZ121" s="26">
        <v>10.807393483709273</v>
      </c>
      <c r="EA121" s="26">
        <v>10.807393483709273</v>
      </c>
      <c r="EB121" s="26">
        <v>10.807393483709273</v>
      </c>
      <c r="EC121" s="26">
        <v>10.807393483709273</v>
      </c>
      <c r="ED121" s="26">
        <v>10.807393483709273</v>
      </c>
      <c r="EE121" s="26">
        <v>10.807393483709273</v>
      </c>
      <c r="EF121" s="26">
        <v>10.807393483709273</v>
      </c>
      <c r="EG121" s="26">
        <v>10.807393483709273</v>
      </c>
      <c r="EH121" s="26"/>
      <c r="EI121" s="26">
        <v>10.807393483709273</v>
      </c>
      <c r="EJ121" s="26">
        <v>10.807393483709273</v>
      </c>
      <c r="EK121" s="26"/>
      <c r="EL121" s="26">
        <v>10.807393483709273</v>
      </c>
      <c r="EM121" s="26">
        <v>10.807393483709273</v>
      </c>
      <c r="EN121" s="26">
        <v>10.807393483709273</v>
      </c>
      <c r="EO121" s="26">
        <v>10.807393483709273</v>
      </c>
      <c r="EP121" s="26">
        <v>10.807393483709273</v>
      </c>
      <c r="EQ121" s="26">
        <v>10.807393483709273</v>
      </c>
      <c r="ER121" s="26">
        <v>10.807393483709273</v>
      </c>
      <c r="ES121" s="26">
        <v>10.807393483709273</v>
      </c>
      <c r="ET121" s="26">
        <v>10.807393483709273</v>
      </c>
      <c r="EU121" s="26">
        <v>10.807393483709273</v>
      </c>
      <c r="EV121" s="26">
        <v>10.807393483709273</v>
      </c>
      <c r="EW121" s="26">
        <v>10.807393483709273</v>
      </c>
      <c r="EX121" s="26">
        <v>10.807393483709273</v>
      </c>
      <c r="EY121" s="26">
        <v>10.807393483709273</v>
      </c>
      <c r="EZ121" s="26">
        <v>10.807393483709273</v>
      </c>
      <c r="FA121" s="26">
        <v>10.807393483709273</v>
      </c>
      <c r="FB121" s="26">
        <v>10.807393483709273</v>
      </c>
      <c r="FC121" s="26">
        <v>10.807393483709273</v>
      </c>
      <c r="FD121" s="26">
        <v>10.807393483709273</v>
      </c>
      <c r="FE121" s="26">
        <v>10.807393483709273</v>
      </c>
      <c r="FF121" s="26">
        <v>10.807393483709273</v>
      </c>
      <c r="FG121" s="26">
        <v>10.807393483709273</v>
      </c>
      <c r="FH121" s="26">
        <v>10.807393483709273</v>
      </c>
      <c r="FI121" s="26"/>
      <c r="FJ121" s="26">
        <v>10.807393483709273</v>
      </c>
      <c r="FK121" s="26">
        <v>10.807393483709273</v>
      </c>
    </row>
    <row r="122" spans="3:167" x14ac:dyDescent="0.2">
      <c r="C122" s="10">
        <f t="shared" si="33"/>
        <v>7.5059247919959772E-3</v>
      </c>
      <c r="D122" s="10">
        <f t="shared" si="34"/>
        <v>2.5269011123400125</v>
      </c>
      <c r="E122" s="10" cm="1">
        <f t="array" ref="E122">gavg(AF122,EL122)</f>
        <v>0.24877688914680518</v>
      </c>
      <c r="F122" s="10" cm="1">
        <f t="array" ref="F122">lnstdev(AF122,EL122)</f>
        <v>1.7486827041873665</v>
      </c>
      <c r="G122" s="10">
        <f t="shared" si="35"/>
        <v>73</v>
      </c>
      <c r="H122" s="10">
        <f t="shared" si="36"/>
        <v>7.5059247919959772E-3</v>
      </c>
      <c r="I122" s="10">
        <f t="shared" si="37"/>
        <v>7.5129367195962164E-3</v>
      </c>
      <c r="J122" s="10"/>
      <c r="K122" s="10"/>
      <c r="L122" s="10">
        <f t="shared" si="38"/>
        <v>4</v>
      </c>
      <c r="M122" s="10">
        <f t="shared" si="39"/>
        <v>2.588858058325055E-2</v>
      </c>
      <c r="N122" s="10">
        <f t="shared" si="40"/>
        <v>2.5967773001008259E-2</v>
      </c>
      <c r="O122" s="10">
        <f t="shared" si="41"/>
        <v>10</v>
      </c>
      <c r="P122" s="10">
        <f t="shared" si="42"/>
        <v>0.99166534777150517</v>
      </c>
      <c r="Q122" s="10">
        <f t="shared" si="43"/>
        <v>2.5269011123400125</v>
      </c>
      <c r="R122" s="10">
        <f t="shared" si="44"/>
        <v>19</v>
      </c>
      <c r="S122" s="10">
        <f t="shared" si="45"/>
        <v>3.3918111081692272E-2</v>
      </c>
      <c r="T122" s="10">
        <f t="shared" si="46"/>
        <v>0.23470062603133163</v>
      </c>
      <c r="U122" s="10">
        <f t="shared" si="47"/>
        <v>27</v>
      </c>
      <c r="V122" s="10">
        <f t="shared" si="24"/>
        <v>0.2451237225091244</v>
      </c>
      <c r="W122" s="10">
        <f t="shared" si="25"/>
        <v>0.68729467267062028</v>
      </c>
      <c r="X122" s="10">
        <f t="shared" si="26"/>
        <v>13</v>
      </c>
      <c r="Y122" s="10">
        <f t="shared" si="27"/>
        <v>0.65902029633362047</v>
      </c>
      <c r="Z122" s="10">
        <f t="shared" si="28"/>
        <v>0.65902029633362047</v>
      </c>
      <c r="AA122" s="10">
        <f t="shared" si="29"/>
        <v>1</v>
      </c>
      <c r="AB122" s="10">
        <f t="shared" si="30"/>
        <v>0.2451237225091244</v>
      </c>
      <c r="AC122" s="10">
        <f t="shared" si="31"/>
        <v>0.68729467267062028</v>
      </c>
      <c r="AD122" s="10">
        <f t="shared" si="32"/>
        <v>12</v>
      </c>
      <c r="AE122" s="5" t="s">
        <v>814</v>
      </c>
      <c r="AF122" s="26"/>
      <c r="AG122" s="26"/>
      <c r="AH122" s="26"/>
      <c r="AI122" s="26"/>
      <c r="AJ122" s="26"/>
      <c r="AK122" s="26"/>
      <c r="AL122" s="26">
        <v>7.5099400285696316E-3</v>
      </c>
      <c r="AM122" s="26">
        <v>7.5129367195962164E-3</v>
      </c>
      <c r="AN122" s="26">
        <v>7.5059247919959772E-3</v>
      </c>
      <c r="AO122" s="26">
        <v>7.5111270314369783E-3</v>
      </c>
      <c r="AP122" s="26">
        <v>2.588858058325055E-2</v>
      </c>
      <c r="AQ122" s="26">
        <v>2.5919701840509526E-2</v>
      </c>
      <c r="AR122" s="26">
        <v>2.5931723395606055E-2</v>
      </c>
      <c r="AS122" s="26">
        <v>2.5967110365963785E-2</v>
      </c>
      <c r="AT122" s="26">
        <v>2.5957001416563787E-2</v>
      </c>
      <c r="AU122" s="26"/>
      <c r="AV122" s="26">
        <v>2.5967773001008259E-2</v>
      </c>
      <c r="AW122" s="26"/>
      <c r="AX122" s="26"/>
      <c r="AY122" s="26"/>
      <c r="AZ122" s="26"/>
      <c r="BA122" s="26"/>
      <c r="BB122" s="26">
        <v>2.5949074268347142E-2</v>
      </c>
      <c r="BC122" s="26"/>
      <c r="BD122" s="26"/>
      <c r="BE122" s="26"/>
      <c r="BF122" s="26"/>
      <c r="BG122" s="26"/>
      <c r="BH122" s="26"/>
      <c r="BI122" s="26">
        <v>2.5901213946271665E-2</v>
      </c>
      <c r="BJ122" s="26">
        <v>2.5888823423934469E-2</v>
      </c>
      <c r="BK122" s="26">
        <v>2.5934093445381577E-2</v>
      </c>
      <c r="BL122" s="26"/>
      <c r="BM122" s="26">
        <v>0.99166534777150517</v>
      </c>
      <c r="BN122" s="26">
        <v>1.0029412036600556</v>
      </c>
      <c r="BO122" s="26"/>
      <c r="BP122" s="26">
        <v>2.5246351685618769</v>
      </c>
      <c r="BQ122" s="26">
        <v>2.5269011123400125</v>
      </c>
      <c r="BR122" s="26">
        <v>2.5160644186404033</v>
      </c>
      <c r="BS122" s="26">
        <v>2.5110560222369682</v>
      </c>
      <c r="BT122" s="26">
        <v>2.5017279856220189</v>
      </c>
      <c r="BU122" s="26">
        <v>2.4915196525284222</v>
      </c>
      <c r="BV122" s="26">
        <v>2.4819495405446594</v>
      </c>
      <c r="BW122" s="26">
        <v>2.4624052824330556</v>
      </c>
      <c r="BX122" s="26">
        <v>2.4170025925878784</v>
      </c>
      <c r="BY122" s="26">
        <v>2.4137624310321995</v>
      </c>
      <c r="BZ122" s="26">
        <v>2.3981986118006589</v>
      </c>
      <c r="CA122" s="26">
        <v>2.3808285947816525</v>
      </c>
      <c r="CB122" s="26">
        <v>2.399793301781159</v>
      </c>
      <c r="CC122" s="26">
        <v>2.3873291319258443</v>
      </c>
      <c r="CD122" s="26">
        <v>2.4273159400471713</v>
      </c>
      <c r="CE122" s="26">
        <v>2.3669011261592563</v>
      </c>
      <c r="CF122" s="26">
        <v>2.3537469675490463</v>
      </c>
      <c r="CG122" s="26"/>
      <c r="CH122" s="26"/>
      <c r="CI122" s="26"/>
      <c r="CJ122" s="26"/>
      <c r="CK122" s="26"/>
      <c r="CL122" s="26"/>
      <c r="CM122" s="26"/>
      <c r="CN122" s="26"/>
      <c r="CO122" s="26"/>
      <c r="CP122" s="26">
        <v>0.225785652003507</v>
      </c>
      <c r="CQ122" s="26">
        <v>0.22350087437017022</v>
      </c>
      <c r="CR122" s="26">
        <v>0.2228096296200322</v>
      </c>
      <c r="CS122" s="26">
        <v>0.22024232348313763</v>
      </c>
      <c r="CT122" s="26">
        <v>0.21872750190370371</v>
      </c>
      <c r="CU122" s="26">
        <v>0.21487002387672866</v>
      </c>
      <c r="CV122" s="26">
        <v>0.21139428527063803</v>
      </c>
      <c r="CW122" s="26">
        <v>0.20552199204494787</v>
      </c>
      <c r="CX122" s="26">
        <v>0.20143889344029109</v>
      </c>
      <c r="CY122" s="26">
        <v>0.19478188665810672</v>
      </c>
      <c r="CZ122" s="26">
        <v>0.18997966493845425</v>
      </c>
      <c r="DA122" s="26">
        <v>0.18534225844746041</v>
      </c>
      <c r="DB122" s="26">
        <v>0.18012799172124447</v>
      </c>
      <c r="DC122" s="26"/>
      <c r="DD122" s="26">
        <v>0.22889457512930347</v>
      </c>
      <c r="DE122" s="26">
        <v>0.19628007830745883</v>
      </c>
      <c r="DF122" s="26"/>
      <c r="DG122" s="26"/>
      <c r="DH122" s="26">
        <v>6.2563796724963316E-2</v>
      </c>
      <c r="DI122" s="26">
        <v>6.1781208720416557E-2</v>
      </c>
      <c r="DJ122" s="26">
        <v>6.1056600086365501E-2</v>
      </c>
      <c r="DK122" s="26">
        <v>6.0530628269383782E-2</v>
      </c>
      <c r="DL122" s="26">
        <v>6.0095652960979191E-2</v>
      </c>
      <c r="DM122" s="26">
        <v>0.23287285940399524</v>
      </c>
      <c r="DN122" s="26">
        <v>0.23470062603133163</v>
      </c>
      <c r="DO122" s="26">
        <v>0.2314805500617694</v>
      </c>
      <c r="DP122" s="26">
        <v>0.23198510685619375</v>
      </c>
      <c r="DQ122" s="26">
        <v>0.23257440833185217</v>
      </c>
      <c r="DR122" s="26">
        <v>3.4739884832664006E-2</v>
      </c>
      <c r="DS122" s="26">
        <v>3.3918111081692272E-2</v>
      </c>
      <c r="DT122" s="26"/>
      <c r="DU122" s="26"/>
      <c r="DV122" s="26">
        <v>0.65902029633362047</v>
      </c>
      <c r="DW122" s="26"/>
      <c r="DX122" s="26"/>
      <c r="DY122" s="26">
        <v>0.68547944437255326</v>
      </c>
      <c r="DZ122" s="26">
        <v>0.68729467267062028</v>
      </c>
      <c r="EA122" s="26">
        <v>0.68638958283124052</v>
      </c>
      <c r="EB122" s="26">
        <v>0.68674187659610886</v>
      </c>
      <c r="EC122" s="26">
        <v>0.68090445213124051</v>
      </c>
      <c r="ED122" s="26">
        <v>0.68197054299513193</v>
      </c>
      <c r="EE122" s="26">
        <v>0.68203611956679711</v>
      </c>
      <c r="EF122" s="26">
        <v>0.68089108161197553</v>
      </c>
      <c r="EG122" s="26">
        <v>0.24944242797141178</v>
      </c>
      <c r="EH122" s="26"/>
      <c r="EI122" s="26">
        <v>0.2451237225091244</v>
      </c>
      <c r="EJ122" s="26">
        <v>0.24587679897594672</v>
      </c>
      <c r="EK122" s="26"/>
      <c r="EL122" s="26">
        <v>0.2455790413954668</v>
      </c>
      <c r="EM122" s="26">
        <v>0.64527678951244416</v>
      </c>
      <c r="EN122" s="26">
        <v>0.64291764183315381</v>
      </c>
      <c r="EO122" s="26">
        <v>0.64069536166849783</v>
      </c>
      <c r="EP122" s="26">
        <v>0.64043433140649708</v>
      </c>
      <c r="EQ122" s="26">
        <v>0.64055089348523553</v>
      </c>
      <c r="ER122" s="26">
        <v>0.68169830590785485</v>
      </c>
      <c r="ES122" s="26">
        <v>0.67270294232644079</v>
      </c>
      <c r="ET122" s="26">
        <v>0.66950544644542986</v>
      </c>
      <c r="EU122" s="26">
        <v>0.66716016859940175</v>
      </c>
      <c r="EV122" s="26">
        <v>0.66591621099375187</v>
      </c>
      <c r="EW122" s="26">
        <v>0.68778727366877235</v>
      </c>
      <c r="EX122" s="26">
        <v>0.67854130993997086</v>
      </c>
      <c r="EY122" s="26">
        <v>0.66912746574935911</v>
      </c>
      <c r="EZ122" s="26">
        <v>0.6672698512408417</v>
      </c>
      <c r="FA122" s="26">
        <v>0.66595992870819565</v>
      </c>
      <c r="FB122" s="26">
        <v>0.69053949242272306</v>
      </c>
      <c r="FC122" s="26">
        <v>0.67982515718608383</v>
      </c>
      <c r="FD122" s="26">
        <v>0.67684314303463933</v>
      </c>
      <c r="FE122" s="26">
        <v>0.67470014283691204</v>
      </c>
      <c r="FF122" s="26">
        <v>0.67083256757132181</v>
      </c>
      <c r="FG122" s="26">
        <v>0.68720385300241715</v>
      </c>
      <c r="FH122" s="26">
        <v>0.6749326567217252</v>
      </c>
      <c r="FI122" s="26"/>
      <c r="FJ122" s="26">
        <v>0.66908813090222652</v>
      </c>
      <c r="FK122" s="26">
        <v>0.23227788516653244</v>
      </c>
    </row>
    <row r="123" spans="3:167" x14ac:dyDescent="0.2">
      <c r="C123" s="10">
        <f t="shared" si="33"/>
        <v>7.2849288464662126E-3</v>
      </c>
      <c r="D123" s="10">
        <f t="shared" si="34"/>
        <v>3.4743594336134366E-2</v>
      </c>
      <c r="E123" s="10" cm="1">
        <f t="array" ref="E123">gavg(AF123,EL123)</f>
        <v>1.4674844609059264E-2</v>
      </c>
      <c r="F123" s="10" cm="1">
        <f t="array" ref="F123">lnstdev(AF123,EL123)</f>
        <v>0.48531376751748645</v>
      </c>
      <c r="G123" s="10">
        <f t="shared" si="35"/>
        <v>73</v>
      </c>
      <c r="H123" s="10">
        <f t="shared" si="36"/>
        <v>1.2686605618298669E-2</v>
      </c>
      <c r="I123" s="10">
        <f t="shared" si="37"/>
        <v>1.2689567492037179E-2</v>
      </c>
      <c r="J123" s="10"/>
      <c r="K123" s="10"/>
      <c r="L123" s="10">
        <f t="shared" si="38"/>
        <v>4</v>
      </c>
      <c r="M123" s="10">
        <f t="shared" si="39"/>
        <v>8.8149953912567604E-3</v>
      </c>
      <c r="N123" s="10">
        <f t="shared" si="40"/>
        <v>8.8217288753652829E-3</v>
      </c>
      <c r="O123" s="10">
        <f t="shared" si="41"/>
        <v>10</v>
      </c>
      <c r="P123" s="10">
        <f t="shared" si="42"/>
        <v>2.74991310933431E-2</v>
      </c>
      <c r="Q123" s="10">
        <f t="shared" si="43"/>
        <v>3.4743594336134366E-2</v>
      </c>
      <c r="R123" s="10">
        <f t="shared" si="44"/>
        <v>19</v>
      </c>
      <c r="S123" s="10">
        <f t="shared" si="45"/>
        <v>1.3667180206275373E-2</v>
      </c>
      <c r="T123" s="10">
        <f t="shared" si="46"/>
        <v>2.2166624081397541E-2</v>
      </c>
      <c r="U123" s="10">
        <f t="shared" si="47"/>
        <v>27</v>
      </c>
      <c r="V123" s="10">
        <f t="shared" si="24"/>
        <v>7.2849288464662126E-3</v>
      </c>
      <c r="W123" s="10">
        <f t="shared" si="25"/>
        <v>9.4268089832619025E-3</v>
      </c>
      <c r="X123" s="10">
        <f t="shared" si="26"/>
        <v>13</v>
      </c>
      <c r="Y123" s="10">
        <f t="shared" si="27"/>
        <v>7.3618397634448761E-3</v>
      </c>
      <c r="Z123" s="10">
        <f t="shared" si="28"/>
        <v>7.3618397634448761E-3</v>
      </c>
      <c r="AA123" s="10">
        <f t="shared" si="29"/>
        <v>1</v>
      </c>
      <c r="AB123" s="10">
        <f t="shared" si="30"/>
        <v>7.2849288464662126E-3</v>
      </c>
      <c r="AC123" s="10">
        <f t="shared" si="31"/>
        <v>9.4268089832619025E-3</v>
      </c>
      <c r="AD123" s="10">
        <f t="shared" si="32"/>
        <v>12</v>
      </c>
      <c r="AE123" s="5" t="s">
        <v>816</v>
      </c>
      <c r="AF123" s="26"/>
      <c r="AG123" s="26"/>
      <c r="AH123" s="26"/>
      <c r="AI123" s="26"/>
      <c r="AJ123" s="26"/>
      <c r="AK123" s="26"/>
      <c r="AL123" s="26">
        <v>1.2687871012775602E-2</v>
      </c>
      <c r="AM123" s="26">
        <v>1.2686605618298669E-2</v>
      </c>
      <c r="AN123" s="26">
        <v>1.2689567492037179E-2</v>
      </c>
      <c r="AO123" s="26">
        <v>1.2687369708824711E-2</v>
      </c>
      <c r="AP123" s="26">
        <v>8.8217288753652829E-3</v>
      </c>
      <c r="AQ123" s="26">
        <v>8.8190796650034764E-3</v>
      </c>
      <c r="AR123" s="26">
        <v>8.8180573893437385E-3</v>
      </c>
      <c r="AS123" s="26">
        <v>8.815051626513323E-3</v>
      </c>
      <c r="AT123" s="26">
        <v>8.8159097561799193E-3</v>
      </c>
      <c r="AU123" s="26"/>
      <c r="AV123" s="26">
        <v>8.8149953912567604E-3</v>
      </c>
      <c r="AW123" s="26"/>
      <c r="AX123" s="26"/>
      <c r="AY123" s="26"/>
      <c r="AZ123" s="26"/>
      <c r="BA123" s="26"/>
      <c r="BB123" s="26">
        <v>8.8165829691426913E-3</v>
      </c>
      <c r="BC123" s="26"/>
      <c r="BD123" s="26"/>
      <c r="BE123" s="26"/>
      <c r="BF123" s="26"/>
      <c r="BG123" s="26"/>
      <c r="BH123" s="26"/>
      <c r="BI123" s="26">
        <v>8.8206529751755948E-3</v>
      </c>
      <c r="BJ123" s="26">
        <v>8.8217081880402389E-3</v>
      </c>
      <c r="BK123" s="26">
        <v>8.8178559175879998E-3</v>
      </c>
      <c r="BL123" s="26"/>
      <c r="BM123" s="26">
        <v>3.4743594336134366E-2</v>
      </c>
      <c r="BN123" s="26">
        <v>3.464552618376214E-2</v>
      </c>
      <c r="BO123" s="26"/>
      <c r="BP123" s="26">
        <v>2.7505299362941521E-2</v>
      </c>
      <c r="BQ123" s="26">
        <v>2.74991310933431E-2</v>
      </c>
      <c r="BR123" s="26">
        <v>2.7528693089786744E-2</v>
      </c>
      <c r="BS123" s="26">
        <v>2.7542409589732194E-2</v>
      </c>
      <c r="BT123" s="26">
        <v>2.7568047683343398E-2</v>
      </c>
      <c r="BU123" s="26">
        <v>2.759624256809046E-2</v>
      </c>
      <c r="BV123" s="26">
        <v>2.7622806172567713E-2</v>
      </c>
      <c r="BW123" s="26">
        <v>2.7677454749254829E-2</v>
      </c>
      <c r="BX123" s="26">
        <v>2.7806527280819282E-2</v>
      </c>
      <c r="BY123" s="26">
        <v>2.7815854246672954E-2</v>
      </c>
      <c r="BZ123" s="26">
        <v>2.7860874631317673E-2</v>
      </c>
      <c r="CA123" s="26">
        <v>2.7911552935807122E-2</v>
      </c>
      <c r="CB123" s="26">
        <v>2.7856245010520329E-2</v>
      </c>
      <c r="CC123" s="26">
        <v>2.7892533182568714E-2</v>
      </c>
      <c r="CD123" s="26">
        <v>2.7776943530455161E-2</v>
      </c>
      <c r="CE123" s="26">
        <v>2.7952522371127601E-2</v>
      </c>
      <c r="CF123" s="26">
        <v>2.7991494680682686E-2</v>
      </c>
      <c r="CG123" s="26"/>
      <c r="CH123" s="26"/>
      <c r="CI123" s="26"/>
      <c r="CJ123" s="26"/>
      <c r="CK123" s="26"/>
      <c r="CL123" s="26"/>
      <c r="CM123" s="26"/>
      <c r="CN123" s="26"/>
      <c r="CO123" s="26"/>
      <c r="CP123" s="26">
        <v>1.3800136985123142E-2</v>
      </c>
      <c r="CQ123" s="26">
        <v>1.3835271172618242E-2</v>
      </c>
      <c r="CR123" s="26">
        <v>1.3845989349103121E-2</v>
      </c>
      <c r="CS123" s="26">
        <v>1.3886163909204259E-2</v>
      </c>
      <c r="CT123" s="26">
        <v>1.3910144259743145E-2</v>
      </c>
      <c r="CU123" s="26">
        <v>1.3972159157840992E-2</v>
      </c>
      <c r="CV123" s="26">
        <v>1.4029240855948201E-2</v>
      </c>
      <c r="CW123" s="26">
        <v>1.4128397544571169E-2</v>
      </c>
      <c r="CX123" s="26">
        <v>1.4199454153808563E-2</v>
      </c>
      <c r="CY123" s="26">
        <v>1.4319252236221682E-2</v>
      </c>
      <c r="CZ123" s="26">
        <v>1.4408895836955817E-2</v>
      </c>
      <c r="DA123" s="26">
        <v>1.4498192716937398E-2</v>
      </c>
      <c r="DB123" s="26">
        <v>1.4601994449467283E-2</v>
      </c>
      <c r="DC123" s="26"/>
      <c r="DD123" s="26">
        <v>1.3753036880618373E-2</v>
      </c>
      <c r="DE123" s="26">
        <v>1.4291849221622917E-2</v>
      </c>
      <c r="DF123" s="26"/>
      <c r="DG123" s="26"/>
      <c r="DH123" s="26">
        <v>1.902070893860227E-2</v>
      </c>
      <c r="DI123" s="26">
        <v>1.9080659157512191E-2</v>
      </c>
      <c r="DJ123" s="26">
        <v>1.9137020388136122E-2</v>
      </c>
      <c r="DK123" s="26">
        <v>1.9178457672923498E-2</v>
      </c>
      <c r="DL123" s="26">
        <v>1.9213067528141642E-2</v>
      </c>
      <c r="DM123" s="26">
        <v>1.3693919286498773E-2</v>
      </c>
      <c r="DN123" s="26">
        <v>1.3667180206275373E-2</v>
      </c>
      <c r="DO123" s="26">
        <v>1.3714464550388531E-2</v>
      </c>
      <c r="DP123" s="26">
        <v>1.3707001380856466E-2</v>
      </c>
      <c r="DQ123" s="26">
        <v>1.3698310353615234E-2</v>
      </c>
      <c r="DR123" s="26">
        <v>2.2034356783145522E-2</v>
      </c>
      <c r="DS123" s="26">
        <v>2.2166624081397541E-2</v>
      </c>
      <c r="DT123" s="26"/>
      <c r="DU123" s="26"/>
      <c r="DV123" s="26">
        <v>7.3618397634448761E-3</v>
      </c>
      <c r="DW123" s="26"/>
      <c r="DX123" s="26"/>
      <c r="DY123" s="26">
        <v>7.2897468958670712E-3</v>
      </c>
      <c r="DZ123" s="26">
        <v>7.2849288464662126E-3</v>
      </c>
      <c r="EA123" s="26">
        <v>7.2873291801480739E-3</v>
      </c>
      <c r="EB123" s="26">
        <v>7.2863944132693466E-3</v>
      </c>
      <c r="EC123" s="26">
        <v>7.3019611012249122E-3</v>
      </c>
      <c r="ED123" s="26">
        <v>7.2991057284859705E-3</v>
      </c>
      <c r="EE123" s="26">
        <v>7.29893027314776E-3</v>
      </c>
      <c r="EF123" s="26">
        <v>7.3019969477353267E-3</v>
      </c>
      <c r="EG123" s="26">
        <v>9.385738755047569E-3</v>
      </c>
      <c r="EH123" s="26"/>
      <c r="EI123" s="26">
        <v>9.4268089832619025E-3</v>
      </c>
      <c r="EJ123" s="26">
        <v>9.4195825232188946E-3</v>
      </c>
      <c r="EK123" s="26"/>
      <c r="EL123" s="26">
        <v>9.4224364693276507E-3</v>
      </c>
      <c r="EM123" s="26">
        <v>7.400729768873268E-3</v>
      </c>
      <c r="EN123" s="26">
        <v>7.407509578996099E-3</v>
      </c>
      <c r="EO123" s="26">
        <v>7.4139245585603791E-3</v>
      </c>
      <c r="EP123" s="26">
        <v>7.4146798907419086E-3</v>
      </c>
      <c r="EQ123" s="26">
        <v>7.4143425524612616E-3</v>
      </c>
      <c r="ER123" s="26">
        <v>7.2998343460566007E-3</v>
      </c>
      <c r="ES123" s="26">
        <v>7.3241162094865603E-3</v>
      </c>
      <c r="ET123" s="26">
        <v>7.332845414735817E-3</v>
      </c>
      <c r="EU123" s="26">
        <v>7.3392812504541414E-3</v>
      </c>
      <c r="EV123" s="26">
        <v>7.3427063678181467E-3</v>
      </c>
      <c r="EW123" s="26">
        <v>7.2836241091592544E-3</v>
      </c>
      <c r="EX123" s="26">
        <v>7.3083104122957853E-3</v>
      </c>
      <c r="EY123" s="26">
        <v>7.3338807505937088E-3</v>
      </c>
      <c r="EZ123" s="26">
        <v>7.3389796328818249E-3</v>
      </c>
      <c r="FA123" s="26">
        <v>7.3425858597448278E-3</v>
      </c>
      <c r="FB123" s="26">
        <v>7.276355823020956E-3</v>
      </c>
      <c r="FC123" s="26">
        <v>7.3048575374430411E-3</v>
      </c>
      <c r="FD123" s="26">
        <v>7.3128901547941053E-3</v>
      </c>
      <c r="FE123" s="26">
        <v>7.3186900983328463E-3</v>
      </c>
      <c r="FF123" s="26">
        <v>7.3292160439797594E-3</v>
      </c>
      <c r="FG123" s="26">
        <v>7.2851695253873389E-3</v>
      </c>
      <c r="FH123" s="26">
        <v>7.3180596959293211E-3</v>
      </c>
      <c r="FI123" s="26"/>
      <c r="FJ123" s="26">
        <v>7.3339885355996597E-3</v>
      </c>
      <c r="FK123" s="26">
        <v>9.5545244538413326E-3</v>
      </c>
    </row>
    <row r="124" spans="3:167" x14ac:dyDescent="0.2">
      <c r="C124" s="10">
        <f t="shared" ref="C124" si="93">MIN(AF124:EL124)</f>
        <v>1.4539354437879551E-2</v>
      </c>
      <c r="D124" s="10">
        <f t="shared" ref="D124" si="94">MAX(AF124:EL124)</f>
        <v>94.256017905432813</v>
      </c>
      <c r="E124" s="10" cm="1">
        <f t="array" ref="E124">gavg(AF124,EL124)</f>
        <v>1.8936391492372509</v>
      </c>
      <c r="F124" s="10" cm="1">
        <f t="array" ref="F124">lnstdev(AF124,EL124)</f>
        <v>2.381872477667748</v>
      </c>
      <c r="G124" s="10">
        <f t="shared" ref="G124" si="95">COUNT(AF124:EL124)</f>
        <v>73</v>
      </c>
      <c r="H124" s="10">
        <f t="shared" ref="H124" si="96">MIN(AF124:AO124)</f>
        <v>6.5205799771946335E-2</v>
      </c>
      <c r="I124" s="10">
        <f t="shared" ref="I124" si="97">MAX(AF124:AO124)</f>
        <v>0.10204074505190215</v>
      </c>
      <c r="J124" s="10"/>
      <c r="K124" s="10"/>
      <c r="L124" s="10">
        <f t="shared" ref="L124" si="98">COUNT(AF124:AO124)</f>
        <v>4</v>
      </c>
      <c r="M124" s="10">
        <f t="shared" ref="M124" si="99">MIN(AP124:BL124)</f>
        <v>1.4539354437879551E-2</v>
      </c>
      <c r="N124" s="10">
        <f t="shared" ref="N124" si="100">MAX(AP124:BL124)</f>
        <v>1.38872386423108</v>
      </c>
      <c r="O124" s="10">
        <f t="shared" ref="O124" si="101">COUNT(AP124:BL124)</f>
        <v>10</v>
      </c>
      <c r="P124" s="10">
        <f t="shared" ref="P124" si="102">MIN(BM124:CO124)</f>
        <v>10.358249249716478</v>
      </c>
      <c r="Q124" s="10">
        <f t="shared" ref="Q124" si="103">MAX(BM124:CO124)</f>
        <v>94.256017905432813</v>
      </c>
      <c r="R124" s="10">
        <f t="shared" ref="R124" si="104">COUNT(BM124:CO124)</f>
        <v>19</v>
      </c>
      <c r="S124" s="10">
        <f t="shared" ref="S124" si="105">MIN(CP124:DT124)</f>
        <v>0.10028206102362201</v>
      </c>
      <c r="T124" s="10">
        <f t="shared" ref="T124" si="106">MAX(CP124:DT124)</f>
        <v>5.9227325276004397</v>
      </c>
      <c r="U124" s="10">
        <f t="shared" ref="U124" si="107">COUNT(CP124:DT124)</f>
        <v>27</v>
      </c>
      <c r="V124" s="10">
        <f>MIN($DU124:$EL124)</f>
        <v>2.490784714635922E-2</v>
      </c>
      <c r="W124" s="10">
        <f>MAX($DU124:$EL124)</f>
        <v>1.1827258721533938</v>
      </c>
      <c r="X124" s="10">
        <f>COUNT($DU124:$EL124)</f>
        <v>13</v>
      </c>
      <c r="Y124" s="10">
        <f>MIN($DU124:$DX124)</f>
        <v>0.16702090518094523</v>
      </c>
      <c r="Z124" s="10">
        <f>MAX($DU124:$DX124)</f>
        <v>0.16702090518094523</v>
      </c>
      <c r="AA124" s="10">
        <f>COUNT($DU124:$DX124)</f>
        <v>1</v>
      </c>
      <c r="AB124" s="10">
        <f>MIN($DY124:$EL124)</f>
        <v>2.490784714635922E-2</v>
      </c>
      <c r="AC124" s="10">
        <f>MAX($DY124:$EL124)</f>
        <v>1.1827258721533938</v>
      </c>
      <c r="AD124" s="10">
        <f>COUNT($DY124:$EL124)</f>
        <v>12</v>
      </c>
      <c r="AE124" s="5" t="s">
        <v>668</v>
      </c>
      <c r="AF124" s="26"/>
      <c r="AG124" s="26"/>
      <c r="AH124" s="26"/>
      <c r="AI124" s="26"/>
      <c r="AJ124" s="26"/>
      <c r="AK124" s="26"/>
      <c r="AL124" s="26">
        <v>6.5205799771946335E-2</v>
      </c>
      <c r="AM124" s="26">
        <v>7.7402503059671335E-2</v>
      </c>
      <c r="AN124" s="26">
        <v>8.8907958377130225E-2</v>
      </c>
      <c r="AO124" s="26">
        <v>0.10204074505190215</v>
      </c>
      <c r="AP124" s="26">
        <v>1.4539354437879551E-2</v>
      </c>
      <c r="AQ124" s="26">
        <v>3.927648547281596E-2</v>
      </c>
      <c r="AR124" s="26">
        <v>0.11067141489766966</v>
      </c>
      <c r="AS124" s="26">
        <v>0.21562939127163927</v>
      </c>
      <c r="AT124" s="26">
        <v>0.34758246167464379</v>
      </c>
      <c r="AU124" s="26"/>
      <c r="AV124" s="26">
        <v>0.61598015967513131</v>
      </c>
      <c r="AW124" s="26"/>
      <c r="AX124" s="26"/>
      <c r="AY124" s="26"/>
      <c r="AZ124" s="26"/>
      <c r="BA124" s="26"/>
      <c r="BB124" s="26">
        <v>1.38872386423108</v>
      </c>
      <c r="BC124" s="26"/>
      <c r="BD124" s="26"/>
      <c r="BE124" s="26"/>
      <c r="BF124" s="26"/>
      <c r="BG124" s="26"/>
      <c r="BH124" s="26"/>
      <c r="BI124" s="26">
        <v>2.6363313219664536E-2</v>
      </c>
      <c r="BJ124" s="26">
        <v>7.242979401969861E-2</v>
      </c>
      <c r="BK124" s="26">
        <v>4.1311234755810222E-2</v>
      </c>
      <c r="BL124" s="26"/>
      <c r="BM124" s="26">
        <v>17.957226272703135</v>
      </c>
      <c r="BN124" s="26">
        <v>42.202643718519404</v>
      </c>
      <c r="BO124" s="26"/>
      <c r="BP124" s="26">
        <v>10.358249249716478</v>
      </c>
      <c r="BQ124" s="26">
        <v>16.340951046107069</v>
      </c>
      <c r="BR124" s="26">
        <v>25.462177311416035</v>
      </c>
      <c r="BS124" s="26">
        <v>32.049376945740669</v>
      </c>
      <c r="BT124" s="26">
        <v>38.550424844650315</v>
      </c>
      <c r="BU124" s="26">
        <v>45.614585564191735</v>
      </c>
      <c r="BV124" s="26">
        <v>54.977683485321265</v>
      </c>
      <c r="BW124" s="26">
        <v>67.337860412664966</v>
      </c>
      <c r="BX124" s="26">
        <v>72.425754889362594</v>
      </c>
      <c r="BY124" s="26">
        <v>72.823285331990604</v>
      </c>
      <c r="BZ124" s="26">
        <v>11.138522940632852</v>
      </c>
      <c r="CA124" s="26">
        <v>44.925864168315485</v>
      </c>
      <c r="CB124" s="26">
        <v>46.979757072013314</v>
      </c>
      <c r="CC124" s="26">
        <v>75.493580698873075</v>
      </c>
      <c r="CD124" s="26">
        <v>79.535106287728865</v>
      </c>
      <c r="CE124" s="26">
        <v>86.651219280978623</v>
      </c>
      <c r="CF124" s="26">
        <v>94.256017905432813</v>
      </c>
      <c r="CG124" s="26"/>
      <c r="CH124" s="26"/>
      <c r="CI124" s="26"/>
      <c r="CJ124" s="26"/>
      <c r="CK124" s="26"/>
      <c r="CL124" s="26"/>
      <c r="CM124" s="26"/>
      <c r="CN124" s="26"/>
      <c r="CO124" s="26"/>
      <c r="CP124" s="26">
        <v>0.72064472408069791</v>
      </c>
      <c r="CQ124" s="26">
        <v>1.206748053271907</v>
      </c>
      <c r="CR124" s="26">
        <v>1.8139733540157394</v>
      </c>
      <c r="CS124" s="26">
        <v>2.1984921153549268</v>
      </c>
      <c r="CT124" s="26">
        <v>2.7073093757674318</v>
      </c>
      <c r="CU124" s="26">
        <v>3.3590128979885234</v>
      </c>
      <c r="CV124" s="26">
        <v>3.796810213643806</v>
      </c>
      <c r="CW124" s="26">
        <v>3.8302323856806004</v>
      </c>
      <c r="CX124" s="26">
        <v>4.0706003728124864</v>
      </c>
      <c r="CY124" s="26">
        <v>4.7395150599957665</v>
      </c>
      <c r="CZ124" s="26">
        <v>4.8111264827097786</v>
      </c>
      <c r="DA124" s="26">
        <v>5.1865340746631343</v>
      </c>
      <c r="DB124" s="26">
        <v>5.1418805183538199</v>
      </c>
      <c r="DC124" s="26"/>
      <c r="DD124" s="26">
        <v>5.9227325276004397</v>
      </c>
      <c r="DE124" s="26">
        <v>0.40424764693142068</v>
      </c>
      <c r="DF124" s="26"/>
      <c r="DG124" s="26"/>
      <c r="DH124" s="26">
        <v>4.3611058589540281</v>
      </c>
      <c r="DI124" s="26">
        <v>4.6459846641579157</v>
      </c>
      <c r="DJ124" s="26">
        <v>4.9017519715989586</v>
      </c>
      <c r="DK124" s="26">
        <v>5.1411891031119827</v>
      </c>
      <c r="DL124" s="26">
        <v>5.2562888577425806</v>
      </c>
      <c r="DM124" s="26">
        <v>0.10028206102362201</v>
      </c>
      <c r="DN124" s="26">
        <v>0.32083668757881162</v>
      </c>
      <c r="DO124" s="26">
        <v>0.1705462698960814</v>
      </c>
      <c r="DP124" s="26">
        <v>0.52153424512869873</v>
      </c>
      <c r="DQ124" s="26">
        <v>0.26425907916951591</v>
      </c>
      <c r="DR124" s="26">
        <v>4.6714989376463967</v>
      </c>
      <c r="DS124" s="26">
        <v>4.9227980196827357</v>
      </c>
      <c r="DT124" s="26"/>
      <c r="DU124" s="26"/>
      <c r="DV124" s="26">
        <v>0.16702090518094523</v>
      </c>
      <c r="DW124" s="26"/>
      <c r="DX124" s="26"/>
      <c r="DY124" s="26">
        <v>2.490784714635922E-2</v>
      </c>
      <c r="DZ124" s="26">
        <v>0.17594051397950725</v>
      </c>
      <c r="EA124" s="26">
        <v>0.28639550689987353</v>
      </c>
      <c r="EB124" s="26">
        <v>0.3852875692671287</v>
      </c>
      <c r="EC124" s="26">
        <v>0.53297912399832204</v>
      </c>
      <c r="ED124" s="26">
        <v>0.65342659186966623</v>
      </c>
      <c r="EE124" s="26">
        <v>0.73686241735550029</v>
      </c>
      <c r="EF124" s="26">
        <v>0.94964735709751236</v>
      </c>
      <c r="EG124" s="26">
        <v>0.8349240894280815</v>
      </c>
      <c r="EH124" s="26"/>
      <c r="EI124" s="26">
        <v>1.1827258721533938</v>
      </c>
      <c r="EJ124" s="26">
        <v>1.107830999707099</v>
      </c>
      <c r="EK124" s="26"/>
      <c r="EL124" s="26">
        <v>1.0554287851308892</v>
      </c>
      <c r="EM124" s="26">
        <v>2.7637370234557923E-2</v>
      </c>
      <c r="EN124" s="26">
        <v>0.2005869041318194</v>
      </c>
      <c r="EO124" s="26">
        <v>0.96167747965441508</v>
      </c>
      <c r="EP124" s="26">
        <v>1.3652107642805298</v>
      </c>
      <c r="EQ124" s="26">
        <v>1.7060935344299619</v>
      </c>
      <c r="ER124" s="26">
        <v>2.5604344974297793E-2</v>
      </c>
      <c r="ES124" s="26">
        <v>0.19057187627830652</v>
      </c>
      <c r="ET124" s="26">
        <v>0.94524874226722511</v>
      </c>
      <c r="EU124" s="26">
        <v>1.3549979256360554</v>
      </c>
      <c r="EV124" s="26">
        <v>1.7169897384294512</v>
      </c>
      <c r="EW124" s="26">
        <v>2.5269802174530405E-2</v>
      </c>
      <c r="EX124" s="26">
        <v>0.18763949159967522</v>
      </c>
      <c r="EY124" s="26">
        <v>0.85646746805897733</v>
      </c>
      <c r="EZ124" s="26">
        <v>1.1852199627747368</v>
      </c>
      <c r="FA124" s="26">
        <v>1.1677203562479601</v>
      </c>
      <c r="FB124" s="26">
        <v>2.5126121847188862E-2</v>
      </c>
      <c r="FC124" s="26">
        <v>0.17749498211185644</v>
      </c>
      <c r="FD124" s="26">
        <v>0.79180918816966017</v>
      </c>
      <c r="FE124" s="26">
        <v>1.029465873142964</v>
      </c>
      <c r="FF124" s="26">
        <v>1.1906874144764217</v>
      </c>
      <c r="FG124" s="26">
        <v>2.516581977626459E-2</v>
      </c>
      <c r="FH124" s="26">
        <v>0.16944339735155692</v>
      </c>
      <c r="FI124" s="26"/>
      <c r="FJ124" s="26">
        <v>1.0384266292446249</v>
      </c>
      <c r="FK124" s="26">
        <v>1.1400109962821547</v>
      </c>
    </row>
    <row r="125" spans="3:167" x14ac:dyDescent="0.2">
      <c r="C125" s="10">
        <f t="shared" ref="C125" si="108">MIN(AF125:EL125)</f>
        <v>1.1355705189606733</v>
      </c>
      <c r="D125" s="10">
        <f t="shared" ref="D125" si="109">MAX(AF125:EL125)</f>
        <v>2.2249245536537758</v>
      </c>
      <c r="E125" s="10" cm="1">
        <f t="array" ref="E125">gavg(AF125,EL125)</f>
        <v>1.5739013645867799</v>
      </c>
      <c r="F125" s="10" cm="1">
        <f t="array" ref="F125">lnstdev(AF125,EL125)</f>
        <v>0.19951018811345356</v>
      </c>
      <c r="G125" s="10">
        <f t="shared" ref="G125" si="110">COUNT(AF125:EL125)</f>
        <v>73</v>
      </c>
      <c r="H125" s="10">
        <f t="shared" ref="H125" si="111">MIN(AF125:AO125)</f>
        <v>1.3741631866233113</v>
      </c>
      <c r="I125" s="10">
        <f t="shared" ref="I125" si="112">MAX(AF125:AO125)</f>
        <v>1.3741631866233113</v>
      </c>
      <c r="J125" s="10"/>
      <c r="K125" s="10"/>
      <c r="L125" s="10">
        <f t="shared" ref="L125" si="113">COUNT(AF125:AO125)</f>
        <v>4</v>
      </c>
      <c r="M125" s="10">
        <f t="shared" ref="M125" si="114">MIN(AP125:BL125)</f>
        <v>2.2249245536537758</v>
      </c>
      <c r="N125" s="10">
        <f t="shared" ref="N125" si="115">MAX(AP125:BL125)</f>
        <v>2.2249245536537758</v>
      </c>
      <c r="O125" s="10">
        <f t="shared" ref="O125" si="116">COUNT(AP125:BL125)</f>
        <v>10</v>
      </c>
      <c r="P125" s="10">
        <f t="shared" ref="P125" si="117">MIN(BM125:CO125)</f>
        <v>1.7418624327279657</v>
      </c>
      <c r="Q125" s="10">
        <f t="shared" ref="Q125" si="118">MAX(BM125:CO125)</f>
        <v>1.7418624327279657</v>
      </c>
      <c r="R125" s="10">
        <f t="shared" ref="R125" si="119">COUNT(BM125:CO125)</f>
        <v>19</v>
      </c>
      <c r="S125" s="10">
        <f t="shared" ref="S125" si="120">MIN(CP125:DT125)</f>
        <v>1.539205138524286</v>
      </c>
      <c r="T125" s="10">
        <f t="shared" ref="T125" si="121">MAX(CP125:DT125)</f>
        <v>1.539205138524286</v>
      </c>
      <c r="U125" s="10">
        <f t="shared" ref="U125" si="122">COUNT(CP125:DT125)</f>
        <v>27</v>
      </c>
      <c r="V125" s="10">
        <f t="shared" si="24"/>
        <v>1.1355705189606733</v>
      </c>
      <c r="W125" s="10">
        <f t="shared" si="25"/>
        <v>1.1355705189606733</v>
      </c>
      <c r="X125" s="10">
        <f t="shared" si="26"/>
        <v>13</v>
      </c>
      <c r="Y125" s="10">
        <f t="shared" si="27"/>
        <v>1.1355705189606733</v>
      </c>
      <c r="Z125" s="10">
        <f t="shared" si="28"/>
        <v>1.1355705189606733</v>
      </c>
      <c r="AA125" s="10">
        <f t="shared" si="29"/>
        <v>1</v>
      </c>
      <c r="AB125" s="10">
        <f t="shared" si="30"/>
        <v>1.1355705189606733</v>
      </c>
      <c r="AC125" s="10">
        <f t="shared" si="31"/>
        <v>1.1355705189606733</v>
      </c>
      <c r="AD125" s="10">
        <f t="shared" si="32"/>
        <v>12</v>
      </c>
      <c r="AE125" s="5" t="s">
        <v>693</v>
      </c>
      <c r="AF125" s="26"/>
      <c r="AG125" s="26"/>
      <c r="AH125" s="26"/>
      <c r="AI125" s="26"/>
      <c r="AJ125" s="26"/>
      <c r="AK125" s="26"/>
      <c r="AL125" s="26">
        <v>1.3741631866233113</v>
      </c>
      <c r="AM125" s="26">
        <v>1.3741631866233113</v>
      </c>
      <c r="AN125" s="26">
        <v>1.3741631866233113</v>
      </c>
      <c r="AO125" s="26">
        <v>1.3741631866233113</v>
      </c>
      <c r="AP125" s="26">
        <v>2.2249245536537758</v>
      </c>
      <c r="AQ125" s="26">
        <v>2.2249245536537758</v>
      </c>
      <c r="AR125" s="26">
        <v>2.2249245536537758</v>
      </c>
      <c r="AS125" s="26">
        <v>2.2249245536537758</v>
      </c>
      <c r="AT125" s="26">
        <v>2.2249245536537758</v>
      </c>
      <c r="AU125" s="26"/>
      <c r="AV125" s="26">
        <v>2.2249245536537758</v>
      </c>
      <c r="AW125" s="26"/>
      <c r="AX125" s="26"/>
      <c r="AY125" s="26"/>
      <c r="AZ125" s="26"/>
      <c r="BA125" s="26"/>
      <c r="BB125" s="26">
        <v>2.2249245536537758</v>
      </c>
      <c r="BC125" s="26"/>
      <c r="BD125" s="26"/>
      <c r="BE125" s="26"/>
      <c r="BF125" s="26"/>
      <c r="BG125" s="26"/>
      <c r="BH125" s="26"/>
      <c r="BI125" s="26">
        <v>2.2249245536537758</v>
      </c>
      <c r="BJ125" s="26">
        <v>2.2249245536537758</v>
      </c>
      <c r="BK125" s="26">
        <v>2.2249245536537758</v>
      </c>
      <c r="BL125" s="26"/>
      <c r="BM125" s="26">
        <v>1.7418624327279657</v>
      </c>
      <c r="BN125" s="26">
        <v>1.7418624327279657</v>
      </c>
      <c r="BO125" s="26"/>
      <c r="BP125" s="26">
        <v>1.7418624327279657</v>
      </c>
      <c r="BQ125" s="26">
        <v>1.7418624327279657</v>
      </c>
      <c r="BR125" s="26">
        <v>1.7418624327279657</v>
      </c>
      <c r="BS125" s="26">
        <v>1.7418624327279657</v>
      </c>
      <c r="BT125" s="26">
        <v>1.7418624327279657</v>
      </c>
      <c r="BU125" s="26">
        <v>1.7418624327279657</v>
      </c>
      <c r="BV125" s="26">
        <v>1.7418624327279657</v>
      </c>
      <c r="BW125" s="26">
        <v>1.7418624327279657</v>
      </c>
      <c r="BX125" s="26">
        <v>1.7418624327279657</v>
      </c>
      <c r="BY125" s="26">
        <v>1.7418624327279657</v>
      </c>
      <c r="BZ125" s="26">
        <v>1.7418624327279657</v>
      </c>
      <c r="CA125" s="26">
        <v>1.7418624327279657</v>
      </c>
      <c r="CB125" s="26">
        <v>1.7418624327279657</v>
      </c>
      <c r="CC125" s="26">
        <v>1.7418624327279657</v>
      </c>
      <c r="CD125" s="26">
        <v>1.7418624327279657</v>
      </c>
      <c r="CE125" s="26">
        <v>1.7418624327279657</v>
      </c>
      <c r="CF125" s="26">
        <v>1.7418624327279657</v>
      </c>
      <c r="CG125" s="26"/>
      <c r="CH125" s="26"/>
      <c r="CI125" s="26"/>
      <c r="CJ125" s="26"/>
      <c r="CK125" s="26"/>
      <c r="CL125" s="26"/>
      <c r="CM125" s="26"/>
      <c r="CN125" s="26"/>
      <c r="CO125" s="26"/>
      <c r="CP125" s="26">
        <v>1.539205138524286</v>
      </c>
      <c r="CQ125" s="26">
        <v>1.539205138524286</v>
      </c>
      <c r="CR125" s="26">
        <v>1.539205138524286</v>
      </c>
      <c r="CS125" s="26">
        <v>1.539205138524286</v>
      </c>
      <c r="CT125" s="26">
        <v>1.539205138524286</v>
      </c>
      <c r="CU125" s="26">
        <v>1.539205138524286</v>
      </c>
      <c r="CV125" s="26">
        <v>1.539205138524286</v>
      </c>
      <c r="CW125" s="26">
        <v>1.539205138524286</v>
      </c>
      <c r="CX125" s="26">
        <v>1.539205138524286</v>
      </c>
      <c r="CY125" s="26">
        <v>1.539205138524286</v>
      </c>
      <c r="CZ125" s="26">
        <v>1.539205138524286</v>
      </c>
      <c r="DA125" s="26">
        <v>1.539205138524286</v>
      </c>
      <c r="DB125" s="26">
        <v>1.539205138524286</v>
      </c>
      <c r="DC125" s="26"/>
      <c r="DD125" s="26">
        <v>1.539205138524286</v>
      </c>
      <c r="DE125" s="26">
        <v>1.539205138524286</v>
      </c>
      <c r="DF125" s="26"/>
      <c r="DG125" s="26"/>
      <c r="DH125" s="26">
        <v>1.539205138524286</v>
      </c>
      <c r="DI125" s="26">
        <v>1.539205138524286</v>
      </c>
      <c r="DJ125" s="26">
        <v>1.539205138524286</v>
      </c>
      <c r="DK125" s="26">
        <v>1.539205138524286</v>
      </c>
      <c r="DL125" s="26">
        <v>1.539205138524286</v>
      </c>
      <c r="DM125" s="26">
        <v>1.539205138524286</v>
      </c>
      <c r="DN125" s="26">
        <v>1.539205138524286</v>
      </c>
      <c r="DO125" s="26">
        <v>1.539205138524286</v>
      </c>
      <c r="DP125" s="26">
        <v>1.539205138524286</v>
      </c>
      <c r="DQ125" s="26">
        <v>1.539205138524286</v>
      </c>
      <c r="DR125" s="26">
        <v>1.539205138524286</v>
      </c>
      <c r="DS125" s="26">
        <v>1.539205138524286</v>
      </c>
      <c r="DT125" s="26"/>
      <c r="DU125" s="26"/>
      <c r="DV125" s="26">
        <v>1.1355705189606733</v>
      </c>
      <c r="DW125" s="26"/>
      <c r="DX125" s="26"/>
      <c r="DY125" s="26">
        <v>1.1355705189606733</v>
      </c>
      <c r="DZ125" s="26">
        <v>1.1355705189606733</v>
      </c>
      <c r="EA125" s="26">
        <v>1.1355705189606733</v>
      </c>
      <c r="EB125" s="26">
        <v>1.1355705189606733</v>
      </c>
      <c r="EC125" s="26">
        <v>1.1355705189606733</v>
      </c>
      <c r="ED125" s="26">
        <v>1.1355705189606733</v>
      </c>
      <c r="EE125" s="26">
        <v>1.1355705189606733</v>
      </c>
      <c r="EF125" s="26">
        <v>1.1355705189606733</v>
      </c>
      <c r="EG125" s="26">
        <v>1.1355705189606733</v>
      </c>
      <c r="EH125" s="26"/>
      <c r="EI125" s="26">
        <v>1.1355705189606733</v>
      </c>
      <c r="EJ125" s="26">
        <v>1.1355705189606733</v>
      </c>
      <c r="EK125" s="26"/>
      <c r="EL125" s="26">
        <v>1.1355705189606733</v>
      </c>
      <c r="EM125" s="26">
        <v>1.1355705189606733</v>
      </c>
      <c r="EN125" s="26">
        <v>1.1355705189606733</v>
      </c>
      <c r="EO125" s="26">
        <v>1.1355705189606733</v>
      </c>
      <c r="EP125" s="26">
        <v>1.1355705189606733</v>
      </c>
      <c r="EQ125" s="26">
        <v>1.1355705189606733</v>
      </c>
      <c r="ER125" s="26">
        <v>1.1355705189606733</v>
      </c>
      <c r="ES125" s="26">
        <v>1.1355705189606733</v>
      </c>
      <c r="ET125" s="26">
        <v>1.1355705189606733</v>
      </c>
      <c r="EU125" s="26">
        <v>1.1355705189606733</v>
      </c>
      <c r="EV125" s="26">
        <v>1.1355705189606733</v>
      </c>
      <c r="EW125" s="26">
        <v>1.1355705189606733</v>
      </c>
      <c r="EX125" s="26">
        <v>1.1355705189606733</v>
      </c>
      <c r="EY125" s="26">
        <v>1.1355705189606733</v>
      </c>
      <c r="EZ125" s="26">
        <v>1.1355705189606733</v>
      </c>
      <c r="FA125" s="26">
        <v>1.1355705189606733</v>
      </c>
      <c r="FB125" s="26">
        <v>1.1355705189606733</v>
      </c>
      <c r="FC125" s="26">
        <v>1.1355705189606733</v>
      </c>
      <c r="FD125" s="26">
        <v>1.1355705189606733</v>
      </c>
      <c r="FE125" s="26">
        <v>1.1355705189606733</v>
      </c>
      <c r="FF125" s="26">
        <v>1.1355705189606733</v>
      </c>
      <c r="FG125" s="26">
        <v>1.1355705189606733</v>
      </c>
      <c r="FH125" s="26">
        <v>1.1355705189606733</v>
      </c>
      <c r="FI125" s="26"/>
      <c r="FJ125" s="26">
        <v>1.1355705189606733</v>
      </c>
      <c r="FK125" s="26">
        <v>1.1355705189606733</v>
      </c>
    </row>
    <row r="126" spans="3:167" x14ac:dyDescent="0.2">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5"/>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row>
    <row r="127" spans="3:167" x14ac:dyDescent="0.2">
      <c r="C127" s="10">
        <f t="shared" si="33"/>
        <v>-1.6777687661760932</v>
      </c>
      <c r="D127" s="10">
        <f t="shared" si="34"/>
        <v>-1.6777687661760932</v>
      </c>
      <c r="E127" s="10" t="str" cm="1">
        <f t="array" ref="E127">gavg(AF127,EL127)</f>
        <v>no data</v>
      </c>
      <c r="F127" s="10" t="str" cm="1">
        <f t="array" ref="F127">lnstdev(AF127,EL127)</f>
        <v>insuff data</v>
      </c>
      <c r="G127" s="10">
        <f t="shared" si="35"/>
        <v>21</v>
      </c>
      <c r="H127" s="10">
        <f t="shared" si="36"/>
        <v>-1.6777687661760932</v>
      </c>
      <c r="I127" s="10">
        <f t="shared" si="37"/>
        <v>-1.6777687661760932</v>
      </c>
      <c r="J127" s="10"/>
      <c r="K127" s="10"/>
      <c r="L127" s="10">
        <f t="shared" si="38"/>
        <v>4</v>
      </c>
      <c r="M127" s="10">
        <f t="shared" si="39"/>
        <v>-1.6777687661760932</v>
      </c>
      <c r="N127" s="10">
        <f t="shared" si="40"/>
        <v>-1.6777687661760932</v>
      </c>
      <c r="O127" s="10">
        <f t="shared" si="41"/>
        <v>8</v>
      </c>
      <c r="P127" s="10">
        <f t="shared" si="42"/>
        <v>0</v>
      </c>
      <c r="Q127" s="10">
        <f t="shared" si="43"/>
        <v>0</v>
      </c>
      <c r="R127" s="10">
        <f t="shared" si="44"/>
        <v>0</v>
      </c>
      <c r="S127" s="10">
        <f t="shared" si="45"/>
        <v>-1.6777687661760932</v>
      </c>
      <c r="T127" s="10">
        <f t="shared" si="46"/>
        <v>-1.6777687661760932</v>
      </c>
      <c r="U127" s="10">
        <f t="shared" si="47"/>
        <v>4</v>
      </c>
      <c r="V127" s="10">
        <f t="shared" si="24"/>
        <v>-1.6777687661760932</v>
      </c>
      <c r="W127" s="10">
        <f t="shared" si="25"/>
        <v>-1.6777687661760932</v>
      </c>
      <c r="X127" s="10">
        <f t="shared" si="26"/>
        <v>5</v>
      </c>
      <c r="Y127" s="10">
        <f t="shared" si="27"/>
        <v>-1.6777687661760932</v>
      </c>
      <c r="Z127" s="10">
        <f t="shared" si="28"/>
        <v>-1.6777687661760932</v>
      </c>
      <c r="AA127" s="10">
        <f t="shared" si="29"/>
        <v>1</v>
      </c>
      <c r="AB127" s="10">
        <f t="shared" si="30"/>
        <v>-1.6777687661760932</v>
      </c>
      <c r="AC127" s="10">
        <f t="shared" si="31"/>
        <v>-1.6777687661760932</v>
      </c>
      <c r="AD127" s="10">
        <f t="shared" si="32"/>
        <v>4</v>
      </c>
      <c r="AE127" s="5" t="s">
        <v>464</v>
      </c>
      <c r="AF127" s="26"/>
      <c r="AG127" s="26"/>
      <c r="AH127" s="26"/>
      <c r="AI127" s="26"/>
      <c r="AJ127" s="26"/>
      <c r="AK127" s="26"/>
      <c r="AL127" s="26">
        <v>-1.6777687661760932</v>
      </c>
      <c r="AM127" s="26">
        <v>-1.6777687661760932</v>
      </c>
      <c r="AN127" s="26">
        <v>-1.6777687661760932</v>
      </c>
      <c r="AO127" s="26">
        <v>-1.6777687661760932</v>
      </c>
      <c r="AP127" s="26">
        <v>-1.6777687661760932</v>
      </c>
      <c r="AQ127" s="26">
        <v>-1.6777687661760932</v>
      </c>
      <c r="AR127" s="26">
        <v>-1.6777687661760932</v>
      </c>
      <c r="AS127" s="26">
        <v>-1.6777687661760932</v>
      </c>
      <c r="AT127" s="26">
        <v>-1.6777687661760932</v>
      </c>
      <c r="AU127" s="26"/>
      <c r="AV127" s="26"/>
      <c r="AW127" s="26"/>
      <c r="AX127" s="26"/>
      <c r="AY127" s="26"/>
      <c r="AZ127" s="26"/>
      <c r="BA127" s="26"/>
      <c r="BB127" s="26"/>
      <c r="BC127" s="26"/>
      <c r="BD127" s="26"/>
      <c r="BE127" s="26"/>
      <c r="BF127" s="26"/>
      <c r="BG127" s="26"/>
      <c r="BH127" s="26"/>
      <c r="BI127" s="26">
        <v>-1.6777687661760932</v>
      </c>
      <c r="BJ127" s="26">
        <v>-1.6777687661760932</v>
      </c>
      <c r="BK127" s="26">
        <v>-1.6777687661760932</v>
      </c>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v>-1.6777687661760932</v>
      </c>
      <c r="DN127" s="26">
        <v>-1.6777687661760932</v>
      </c>
      <c r="DO127" s="26">
        <v>-1.6777687661760932</v>
      </c>
      <c r="DP127" s="26"/>
      <c r="DQ127" s="26">
        <v>-1.6777687661760932</v>
      </c>
      <c r="DR127" s="26"/>
      <c r="DS127" s="26"/>
      <c r="DT127" s="26"/>
      <c r="DU127" s="26"/>
      <c r="DV127" s="26">
        <v>-1.6777687661760932</v>
      </c>
      <c r="DW127" s="26"/>
      <c r="DX127" s="26"/>
      <c r="DY127" s="26">
        <v>-1.6777687661760932</v>
      </c>
      <c r="DZ127" s="26">
        <v>-1.6777687661760932</v>
      </c>
      <c r="EA127" s="26">
        <v>-1.6777687661760932</v>
      </c>
      <c r="EB127" s="26">
        <v>-1.6777687661760932</v>
      </c>
      <c r="EC127" s="26"/>
      <c r="ED127" s="26"/>
      <c r="EE127" s="26"/>
      <c r="EF127" s="26"/>
      <c r="EG127" s="26"/>
      <c r="EH127" s="26"/>
      <c r="EI127" s="26"/>
      <c r="EJ127" s="26"/>
      <c r="EK127" s="26"/>
      <c r="EL127" s="26"/>
      <c r="EM127" s="26">
        <v>-1.6777687661760932</v>
      </c>
      <c r="EN127" s="26">
        <v>-1.6777687661760932</v>
      </c>
      <c r="EO127" s="26"/>
      <c r="EP127" s="26"/>
      <c r="EQ127" s="26"/>
      <c r="ER127" s="26">
        <v>-1.6777687661760932</v>
      </c>
      <c r="ES127" s="26">
        <v>-1.6777687661760932</v>
      </c>
      <c r="ET127" s="26"/>
      <c r="EU127" s="26"/>
      <c r="EV127" s="26"/>
      <c r="EW127" s="26">
        <v>-1.6777687661760932</v>
      </c>
      <c r="EX127" s="26">
        <v>-1.6777687661760932</v>
      </c>
      <c r="EY127" s="26"/>
      <c r="EZ127" s="26"/>
      <c r="FA127" s="26"/>
      <c r="FB127" s="26">
        <v>-1.6777687661760932</v>
      </c>
      <c r="FC127" s="26">
        <v>-1.6777687661760932</v>
      </c>
      <c r="FD127" s="26"/>
      <c r="FE127" s="26"/>
      <c r="FF127" s="26"/>
      <c r="FG127" s="26">
        <v>-1.6777687661760932</v>
      </c>
      <c r="FH127" s="26">
        <v>-1.6777687661760932</v>
      </c>
      <c r="FI127" s="26"/>
      <c r="FJ127" s="26"/>
      <c r="FK127" s="26"/>
    </row>
    <row r="128" spans="3:167" x14ac:dyDescent="0.2">
      <c r="C128" s="10">
        <f t="shared" si="33"/>
        <v>2.3050252878791553</v>
      </c>
      <c r="D128" s="10">
        <f t="shared" si="34"/>
        <v>2.3050252878791553</v>
      </c>
      <c r="E128" s="10" cm="1">
        <f t="array" ref="E128">gavg(AF128,EL128)</f>
        <v>2.3050252878791557</v>
      </c>
      <c r="F128" s="10" cm="1">
        <f t="array" ref="F128">lnstdev(AF128,EL128)</f>
        <v>0</v>
      </c>
      <c r="G128" s="10">
        <f t="shared" si="35"/>
        <v>21</v>
      </c>
      <c r="H128" s="10">
        <f t="shared" si="36"/>
        <v>2.3050252878791553</v>
      </c>
      <c r="I128" s="10">
        <f t="shared" si="37"/>
        <v>2.3050252878791553</v>
      </c>
      <c r="J128" s="10"/>
      <c r="K128" s="10"/>
      <c r="L128" s="10">
        <f t="shared" si="38"/>
        <v>4</v>
      </c>
      <c r="M128" s="10">
        <f t="shared" si="39"/>
        <v>2.3050252878791553</v>
      </c>
      <c r="N128" s="10">
        <f t="shared" si="40"/>
        <v>2.3050252878791553</v>
      </c>
      <c r="O128" s="10">
        <f t="shared" si="41"/>
        <v>8</v>
      </c>
      <c r="P128" s="10">
        <f t="shared" si="42"/>
        <v>0</v>
      </c>
      <c r="Q128" s="10">
        <f t="shared" si="43"/>
        <v>0</v>
      </c>
      <c r="R128" s="10">
        <f t="shared" si="44"/>
        <v>0</v>
      </c>
      <c r="S128" s="10">
        <f t="shared" si="45"/>
        <v>2.3050252878791553</v>
      </c>
      <c r="T128" s="10">
        <f t="shared" si="46"/>
        <v>2.3050252878791553</v>
      </c>
      <c r="U128" s="10">
        <f t="shared" si="47"/>
        <v>4</v>
      </c>
      <c r="V128" s="10">
        <f t="shared" si="24"/>
        <v>2.3050252878791553</v>
      </c>
      <c r="W128" s="10">
        <f t="shared" si="25"/>
        <v>2.3050252878791553</v>
      </c>
      <c r="X128" s="10">
        <f t="shared" si="26"/>
        <v>5</v>
      </c>
      <c r="Y128" s="10">
        <f t="shared" si="27"/>
        <v>2.3050252878791553</v>
      </c>
      <c r="Z128" s="10">
        <f t="shared" si="28"/>
        <v>2.3050252878791553</v>
      </c>
      <c r="AA128" s="10">
        <f t="shared" si="29"/>
        <v>1</v>
      </c>
      <c r="AB128" s="10">
        <f t="shared" si="30"/>
        <v>2.3050252878791553</v>
      </c>
      <c r="AC128" s="10">
        <f t="shared" si="31"/>
        <v>2.3050252878791553</v>
      </c>
      <c r="AD128" s="10">
        <f t="shared" si="32"/>
        <v>4</v>
      </c>
      <c r="AE128" s="5" t="s">
        <v>465</v>
      </c>
      <c r="AF128" s="26"/>
      <c r="AG128" s="26"/>
      <c r="AH128" s="26"/>
      <c r="AI128" s="26"/>
      <c r="AJ128" s="26"/>
      <c r="AK128" s="26"/>
      <c r="AL128" s="26">
        <v>2.3050252878791553</v>
      </c>
      <c r="AM128" s="26">
        <v>2.3050252878791553</v>
      </c>
      <c r="AN128" s="26">
        <v>2.3050252878791553</v>
      </c>
      <c r="AO128" s="26">
        <v>2.3050252878791553</v>
      </c>
      <c r="AP128" s="26">
        <v>2.3050252878791553</v>
      </c>
      <c r="AQ128" s="26">
        <v>2.3050252878791553</v>
      </c>
      <c r="AR128" s="26">
        <v>2.3050252878791553</v>
      </c>
      <c r="AS128" s="26">
        <v>2.3050252878791553</v>
      </c>
      <c r="AT128" s="26">
        <v>2.3050252878791553</v>
      </c>
      <c r="AU128" s="26"/>
      <c r="AV128" s="26"/>
      <c r="AW128" s="26"/>
      <c r="AX128" s="26"/>
      <c r="AY128" s="26"/>
      <c r="AZ128" s="26"/>
      <c r="BA128" s="26"/>
      <c r="BB128" s="26"/>
      <c r="BC128" s="26"/>
      <c r="BD128" s="26"/>
      <c r="BE128" s="26"/>
      <c r="BF128" s="26"/>
      <c r="BG128" s="26"/>
      <c r="BH128" s="26"/>
      <c r="BI128" s="26">
        <v>2.3050252878791553</v>
      </c>
      <c r="BJ128" s="26">
        <v>2.3050252878791553</v>
      </c>
      <c r="BK128" s="26">
        <v>2.3050252878791553</v>
      </c>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v>2.3050252878791553</v>
      </c>
      <c r="DN128" s="26">
        <v>2.3050252878791553</v>
      </c>
      <c r="DO128" s="26">
        <v>2.3050252878791553</v>
      </c>
      <c r="DP128" s="26"/>
      <c r="DQ128" s="26">
        <v>2.3050252878791553</v>
      </c>
      <c r="DR128" s="26"/>
      <c r="DS128" s="26"/>
      <c r="DT128" s="26"/>
      <c r="DU128" s="26"/>
      <c r="DV128" s="26">
        <v>2.3050252878791553</v>
      </c>
      <c r="DW128" s="26"/>
      <c r="DX128" s="26"/>
      <c r="DY128" s="26">
        <v>2.3050252878791553</v>
      </c>
      <c r="DZ128" s="26">
        <v>2.3050252878791553</v>
      </c>
      <c r="EA128" s="26">
        <v>2.3050252878791553</v>
      </c>
      <c r="EB128" s="26">
        <v>2.3050252878791553</v>
      </c>
      <c r="EC128" s="26"/>
      <c r="ED128" s="26"/>
      <c r="EE128" s="26"/>
      <c r="EF128" s="26"/>
      <c r="EG128" s="26"/>
      <c r="EH128" s="26"/>
      <c r="EI128" s="26"/>
      <c r="EJ128" s="26"/>
      <c r="EK128" s="26"/>
      <c r="EL128" s="26"/>
      <c r="EM128" s="26">
        <v>2.3050252878791553</v>
      </c>
      <c r="EN128" s="26">
        <v>2.3050252878791553</v>
      </c>
      <c r="EO128" s="26"/>
      <c r="EP128" s="26"/>
      <c r="EQ128" s="26"/>
      <c r="ER128" s="26">
        <v>2.3050252878791553</v>
      </c>
      <c r="ES128" s="26">
        <v>2.3050252878791553</v>
      </c>
      <c r="ET128" s="26"/>
      <c r="EU128" s="26"/>
      <c r="EV128" s="26"/>
      <c r="EW128" s="26">
        <v>2.3050252878791553</v>
      </c>
      <c r="EX128" s="26">
        <v>2.3050252878791553</v>
      </c>
      <c r="EY128" s="26"/>
      <c r="EZ128" s="26"/>
      <c r="FA128" s="26"/>
      <c r="FB128" s="26">
        <v>2.3050252878791553</v>
      </c>
      <c r="FC128" s="26">
        <v>2.3050252878791553</v>
      </c>
      <c r="FD128" s="26"/>
      <c r="FE128" s="26"/>
      <c r="FF128" s="26"/>
      <c r="FG128" s="26">
        <v>2.3050252878791553</v>
      </c>
      <c r="FH128" s="26">
        <v>2.3050252878791553</v>
      </c>
      <c r="FI128" s="26"/>
      <c r="FJ128" s="26"/>
      <c r="FK128" s="26"/>
    </row>
    <row r="129" spans="3:167" x14ac:dyDescent="0.2">
      <c r="C129" s="10">
        <f t="shared" si="33"/>
        <v>1.082490460420378</v>
      </c>
      <c r="D129" s="10">
        <f t="shared" si="34"/>
        <v>21.739365639473931</v>
      </c>
      <c r="E129" s="10" cm="1">
        <f t="array" ref="E129">gavg(AF129,EL129)</f>
        <v>4.2771212481621159</v>
      </c>
      <c r="F129" s="10" cm="1">
        <f t="array" ref="F129">lnstdev(AF129,EL129)</f>
        <v>1.0458105633358488</v>
      </c>
      <c r="G129" s="10">
        <f t="shared" si="35"/>
        <v>21</v>
      </c>
      <c r="H129" s="10">
        <f t="shared" si="36"/>
        <v>1.7157269830062256</v>
      </c>
      <c r="I129" s="10">
        <f t="shared" si="37"/>
        <v>3.6616504036919628</v>
      </c>
      <c r="J129" s="10"/>
      <c r="K129" s="10"/>
      <c r="L129" s="10">
        <f t="shared" si="38"/>
        <v>4</v>
      </c>
      <c r="M129" s="10">
        <f t="shared" si="39"/>
        <v>1.082490460420378</v>
      </c>
      <c r="N129" s="10">
        <f t="shared" si="40"/>
        <v>9.791353232130799</v>
      </c>
      <c r="O129" s="10">
        <f t="shared" si="41"/>
        <v>8</v>
      </c>
      <c r="P129" s="10">
        <f t="shared" si="42"/>
        <v>0</v>
      </c>
      <c r="Q129" s="10">
        <f t="shared" si="43"/>
        <v>0</v>
      </c>
      <c r="R129" s="10">
        <f t="shared" si="44"/>
        <v>0</v>
      </c>
      <c r="S129" s="10">
        <f t="shared" si="45"/>
        <v>9.6167482326817044</v>
      </c>
      <c r="T129" s="10">
        <f t="shared" si="46"/>
        <v>20.434037972532693</v>
      </c>
      <c r="U129" s="10">
        <f t="shared" si="47"/>
        <v>4</v>
      </c>
      <c r="V129" s="10">
        <f t="shared" si="24"/>
        <v>1.127342103262031</v>
      </c>
      <c r="W129" s="10">
        <f t="shared" si="25"/>
        <v>21.739365639473931</v>
      </c>
      <c r="X129" s="10">
        <f t="shared" si="26"/>
        <v>5</v>
      </c>
      <c r="Y129" s="10">
        <f t="shared" si="27"/>
        <v>5.6490976281021474</v>
      </c>
      <c r="Z129" s="10">
        <f t="shared" si="28"/>
        <v>5.6490976281021474</v>
      </c>
      <c r="AA129" s="10">
        <f t="shared" si="29"/>
        <v>1</v>
      </c>
      <c r="AB129" s="10">
        <f t="shared" si="30"/>
        <v>1.127342103262031</v>
      </c>
      <c r="AC129" s="10">
        <f t="shared" si="31"/>
        <v>21.739365639473931</v>
      </c>
      <c r="AD129" s="10">
        <f t="shared" si="32"/>
        <v>4</v>
      </c>
      <c r="AE129" s="5" t="s">
        <v>466</v>
      </c>
      <c r="AF129" s="26"/>
      <c r="AG129" s="26"/>
      <c r="AH129" s="26"/>
      <c r="AI129" s="26"/>
      <c r="AJ129" s="26"/>
      <c r="AK129" s="26"/>
      <c r="AL129" s="26">
        <v>1.7157269830062256</v>
      </c>
      <c r="AM129" s="26">
        <v>2.1722192290383169</v>
      </c>
      <c r="AN129" s="26">
        <v>2.7611066509390789</v>
      </c>
      <c r="AO129" s="26">
        <v>3.6616504036919628</v>
      </c>
      <c r="AP129" s="26">
        <v>1.0912648322636185</v>
      </c>
      <c r="AQ129" s="26">
        <v>1.3755182726876292</v>
      </c>
      <c r="AR129" s="26">
        <v>3.2405397659299977</v>
      </c>
      <c r="AS129" s="26">
        <v>6.065764204159227</v>
      </c>
      <c r="AT129" s="26">
        <v>9.791353232130799</v>
      </c>
      <c r="AU129" s="26"/>
      <c r="AV129" s="26"/>
      <c r="AW129" s="26"/>
      <c r="AX129" s="26"/>
      <c r="AY129" s="26"/>
      <c r="AZ129" s="26"/>
      <c r="BA129" s="26"/>
      <c r="BB129" s="26"/>
      <c r="BC129" s="26"/>
      <c r="BD129" s="26"/>
      <c r="BE129" s="26"/>
      <c r="BF129" s="26"/>
      <c r="BG129" s="26"/>
      <c r="BH129" s="26"/>
      <c r="BI129" s="26">
        <v>1.082490460420378</v>
      </c>
      <c r="BJ129" s="26">
        <v>1.9131913044646016</v>
      </c>
      <c r="BK129" s="26">
        <v>1.396647203877128</v>
      </c>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v>9.6167482326817044</v>
      </c>
      <c r="DN129" s="26">
        <v>20.434037972532693</v>
      </c>
      <c r="DO129" s="26">
        <v>12.625281509662374</v>
      </c>
      <c r="DP129" s="26"/>
      <c r="DQ129" s="26">
        <v>19.076182863864304</v>
      </c>
      <c r="DR129" s="26"/>
      <c r="DS129" s="26"/>
      <c r="DT129" s="26"/>
      <c r="DU129" s="26"/>
      <c r="DV129" s="26">
        <v>5.6490976281021474</v>
      </c>
      <c r="DW129" s="26"/>
      <c r="DX129" s="26"/>
      <c r="DY129" s="26">
        <v>1.127342103262031</v>
      </c>
      <c r="DZ129" s="26">
        <v>6.2723460992515054</v>
      </c>
      <c r="EA129" s="26">
        <v>13.874997445851442</v>
      </c>
      <c r="EB129" s="26">
        <v>21.739365639473931</v>
      </c>
      <c r="EC129" s="26"/>
      <c r="ED129" s="26"/>
      <c r="EE129" s="26"/>
      <c r="EF129" s="26"/>
      <c r="EG129" s="26"/>
      <c r="EH129" s="26"/>
      <c r="EI129" s="26"/>
      <c r="EJ129" s="26"/>
      <c r="EK129" s="26"/>
      <c r="EL129" s="26"/>
      <c r="EM129" s="26">
        <v>1.3784733817803081</v>
      </c>
      <c r="EN129" s="26">
        <v>7.1062440007317038</v>
      </c>
      <c r="EO129" s="26"/>
      <c r="EP129" s="26"/>
      <c r="EQ129" s="26"/>
      <c r="ER129" s="26">
        <v>1.2502518162752763</v>
      </c>
      <c r="ES129" s="26">
        <v>9.6751924735997026</v>
      </c>
      <c r="ET129" s="26"/>
      <c r="EU129" s="26"/>
      <c r="EV129" s="26"/>
      <c r="EW129" s="26">
        <v>1.3467580401569286</v>
      </c>
      <c r="EX129" s="26">
        <v>6.6577029104445273</v>
      </c>
      <c r="EY129" s="26"/>
      <c r="EZ129" s="26"/>
      <c r="FA129" s="26"/>
      <c r="FB129" s="26">
        <v>1.1281831367755137</v>
      </c>
      <c r="FC129" s="26">
        <v>6.5162450815819595</v>
      </c>
      <c r="FD129" s="26"/>
      <c r="FE129" s="26"/>
      <c r="FF129" s="26"/>
      <c r="FG129" s="26">
        <v>1.1278542334580175</v>
      </c>
      <c r="FH129" s="26">
        <v>6.5187909322163433</v>
      </c>
      <c r="FI129" s="26"/>
      <c r="FJ129" s="26"/>
      <c r="FK129" s="26"/>
    </row>
    <row r="130" spans="3:167" x14ac:dyDescent="0.2">
      <c r="C130" s="10">
        <f t="shared" si="33"/>
        <v>9.9200463692452169E-4</v>
      </c>
      <c r="D130" s="10">
        <f t="shared" si="34"/>
        <v>5.2033111314859132E-2</v>
      </c>
      <c r="E130" s="10" cm="1">
        <f t="array" ref="E130">gavg(AF130,EL130)</f>
        <v>5.6546128418821376E-3</v>
      </c>
      <c r="F130" s="10" cm="1">
        <f t="array" ref="F130">lnstdev(AF130,EL130)</f>
        <v>1.3819395597898148</v>
      </c>
      <c r="G130" s="10">
        <f t="shared" si="35"/>
        <v>21</v>
      </c>
      <c r="H130" s="10">
        <f t="shared" si="36"/>
        <v>1.6748191277775628E-3</v>
      </c>
      <c r="I130" s="10">
        <f t="shared" si="37"/>
        <v>4.314083576612622E-3</v>
      </c>
      <c r="J130" s="10"/>
      <c r="K130" s="10"/>
      <c r="L130" s="10">
        <f t="shared" si="38"/>
        <v>4</v>
      </c>
      <c r="M130" s="10">
        <f t="shared" si="39"/>
        <v>9.9200463692452169E-4</v>
      </c>
      <c r="N130" s="10">
        <f t="shared" si="40"/>
        <v>1.6529411857896345E-2</v>
      </c>
      <c r="O130" s="10">
        <f t="shared" si="41"/>
        <v>8</v>
      </c>
      <c r="P130" s="10">
        <f t="shared" si="42"/>
        <v>0</v>
      </c>
      <c r="Q130" s="10">
        <f t="shared" si="43"/>
        <v>0</v>
      </c>
      <c r="R130" s="10">
        <f t="shared" si="44"/>
        <v>0</v>
      </c>
      <c r="S130" s="10">
        <f t="shared" si="45"/>
        <v>1.6114677779524959E-2</v>
      </c>
      <c r="T130" s="10">
        <f t="shared" si="46"/>
        <v>4.7545850825985454E-2</v>
      </c>
      <c r="U130" s="10">
        <f t="shared" si="47"/>
        <v>4</v>
      </c>
      <c r="V130" s="10">
        <f t="shared" si="24"/>
        <v>1.0370717313855408E-3</v>
      </c>
      <c r="W130" s="10">
        <f t="shared" si="25"/>
        <v>5.2033111314859132E-2</v>
      </c>
      <c r="X130" s="10">
        <f t="shared" si="26"/>
        <v>5</v>
      </c>
      <c r="Y130" s="10">
        <f t="shared" si="27"/>
        <v>7.6994333820215033E-3</v>
      </c>
      <c r="Z130" s="10">
        <f t="shared" si="28"/>
        <v>7.6994333820215033E-3</v>
      </c>
      <c r="AA130" s="10">
        <f t="shared" si="29"/>
        <v>1</v>
      </c>
      <c r="AB130" s="10">
        <f t="shared" si="30"/>
        <v>1.0370717313855408E-3</v>
      </c>
      <c r="AC130" s="10">
        <f t="shared" si="31"/>
        <v>5.2033111314859132E-2</v>
      </c>
      <c r="AD130" s="10">
        <f t="shared" si="32"/>
        <v>4</v>
      </c>
      <c r="AE130" s="5" t="s">
        <v>468</v>
      </c>
      <c r="AF130" s="26"/>
      <c r="AG130" s="26"/>
      <c r="AH130" s="26"/>
      <c r="AI130" s="26"/>
      <c r="AJ130" s="26"/>
      <c r="AK130" s="26"/>
      <c r="AL130" s="26">
        <v>1.6748191277775628E-3</v>
      </c>
      <c r="AM130" s="26">
        <v>2.2250331064647853E-3</v>
      </c>
      <c r="AN130" s="26">
        <v>2.9999043225463454E-3</v>
      </c>
      <c r="AO130" s="26">
        <v>4.314083576612622E-3</v>
      </c>
      <c r="AP130" s="26">
        <v>1.0007797755166288E-3</v>
      </c>
      <c r="AQ130" s="26">
        <v>1.2957438326398193E-3</v>
      </c>
      <c r="AR130" s="26">
        <v>3.6809858741429294E-3</v>
      </c>
      <c r="AS130" s="26">
        <v>8.4854458535558695E-3</v>
      </c>
      <c r="AT130" s="26">
        <v>1.6529411857896345E-2</v>
      </c>
      <c r="AU130" s="26"/>
      <c r="AV130" s="26"/>
      <c r="AW130" s="26"/>
      <c r="AX130" s="26"/>
      <c r="AY130" s="26"/>
      <c r="AZ130" s="26"/>
      <c r="BA130" s="26"/>
      <c r="BB130" s="26"/>
      <c r="BC130" s="26"/>
      <c r="BD130" s="26"/>
      <c r="BE130" s="26"/>
      <c r="BF130" s="26"/>
      <c r="BG130" s="26"/>
      <c r="BH130" s="26"/>
      <c r="BI130" s="26">
        <v>9.9200463692452169E-4</v>
      </c>
      <c r="BJ130" s="26">
        <v>1.9071664444577285E-3</v>
      </c>
      <c r="BK130" s="26">
        <v>1.3184776033376738E-3</v>
      </c>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v>1.6114677779524959E-2</v>
      </c>
      <c r="DN130" s="26">
        <v>4.7545850825985454E-2</v>
      </c>
      <c r="DO130" s="26">
        <v>2.372667727451791E-2</v>
      </c>
      <c r="DP130" s="26"/>
      <c r="DQ130" s="26">
        <v>4.3023065263673915E-2</v>
      </c>
      <c r="DR130" s="26"/>
      <c r="DS130" s="26"/>
      <c r="DT130" s="26"/>
      <c r="DU130" s="26"/>
      <c r="DV130" s="26">
        <v>7.6994333820215033E-3</v>
      </c>
      <c r="DW130" s="26"/>
      <c r="DX130" s="26"/>
      <c r="DY130" s="26">
        <v>1.0370717313855408E-3</v>
      </c>
      <c r="DZ130" s="26">
        <v>8.8842807466105768E-3</v>
      </c>
      <c r="EA130" s="26">
        <v>2.7163700428268336E-2</v>
      </c>
      <c r="EB130" s="26">
        <v>5.2033111314859132E-2</v>
      </c>
      <c r="EC130" s="26"/>
      <c r="ED130" s="26"/>
      <c r="EE130" s="26"/>
      <c r="EF130" s="26"/>
      <c r="EG130" s="26"/>
      <c r="EH130" s="26"/>
      <c r="EI130" s="26"/>
      <c r="EJ130" s="26"/>
      <c r="EK130" s="26"/>
      <c r="EL130" s="26"/>
      <c r="EM130" s="26">
        <v>1.2989168032077629E-3</v>
      </c>
      <c r="EN130" s="26">
        <v>1.0553711755721003E-2</v>
      </c>
      <c r="EO130" s="26"/>
      <c r="EP130" s="26"/>
      <c r="EQ130" s="26"/>
      <c r="ER130" s="26">
        <v>1.1632345401001308E-3</v>
      </c>
      <c r="ES130" s="26">
        <v>1.6253111137320829E-2</v>
      </c>
      <c r="ET130" s="26"/>
      <c r="EU130" s="26"/>
      <c r="EV130" s="26"/>
      <c r="EW130" s="26">
        <v>1.2649756530401293E-3</v>
      </c>
      <c r="EX130" s="26">
        <v>9.6440603815867842E-3</v>
      </c>
      <c r="EY130" s="26"/>
      <c r="EZ130" s="26"/>
      <c r="FA130" s="26"/>
      <c r="FB130" s="26">
        <v>1.0379218141389614E-3</v>
      </c>
      <c r="FC130" s="26">
        <v>9.3627942234805143E-3</v>
      </c>
      <c r="FD130" s="26"/>
      <c r="FE130" s="26"/>
      <c r="FF130" s="26"/>
      <c r="FG130" s="26">
        <v>1.0375893500529135E-3</v>
      </c>
      <c r="FH130" s="26">
        <v>9.3678321408712985E-3</v>
      </c>
      <c r="FI130" s="26"/>
      <c r="FJ130" s="26"/>
      <c r="FK130" s="26"/>
    </row>
    <row r="131" spans="3:167" x14ac:dyDescent="0.2">
      <c r="C131" s="10">
        <f t="shared" si="33"/>
        <v>3.9377765997847518E-4</v>
      </c>
      <c r="D131" s="10">
        <f t="shared" si="34"/>
        <v>5.2025144504848235E-2</v>
      </c>
      <c r="E131" s="10" cm="1">
        <f t="array" ref="E131">gavg(AF131,EL131)</f>
        <v>4.7352682919200159E-3</v>
      </c>
      <c r="F131" s="10" cm="1">
        <f t="array" ref="F131">lnstdev(AF131,EL131)</f>
        <v>1.6069085101672187</v>
      </c>
      <c r="G131" s="10">
        <f t="shared" si="35"/>
        <v>21</v>
      </c>
      <c r="H131" s="10">
        <f t="shared" si="36"/>
        <v>1.4057050745401639E-3</v>
      </c>
      <c r="I131" s="10">
        <f t="shared" si="37"/>
        <v>4.2169070124698175E-3</v>
      </c>
      <c r="J131" s="10"/>
      <c r="K131" s="10"/>
      <c r="L131" s="10">
        <f t="shared" si="38"/>
        <v>4</v>
      </c>
      <c r="M131" s="10">
        <f t="shared" si="39"/>
        <v>3.9377765997847518E-4</v>
      </c>
      <c r="N131" s="10">
        <f t="shared" si="40"/>
        <v>1.6504315920806371E-2</v>
      </c>
      <c r="O131" s="10">
        <f t="shared" si="41"/>
        <v>8</v>
      </c>
      <c r="P131" s="10">
        <f t="shared" si="42"/>
        <v>0</v>
      </c>
      <c r="Q131" s="10">
        <f t="shared" si="43"/>
        <v>0</v>
      </c>
      <c r="R131" s="10">
        <f t="shared" si="44"/>
        <v>0</v>
      </c>
      <c r="S131" s="10">
        <f t="shared" si="45"/>
        <v>1.6088934942491806E-2</v>
      </c>
      <c r="T131" s="10">
        <f t="shared" si="46"/>
        <v>4.7537131996079444E-2</v>
      </c>
      <c r="U131" s="10">
        <f t="shared" si="47"/>
        <v>4</v>
      </c>
      <c r="V131" s="10">
        <f t="shared" si="24"/>
        <v>4.9649312367582151E-4</v>
      </c>
      <c r="W131" s="10">
        <f t="shared" si="25"/>
        <v>5.2025144504848235E-2</v>
      </c>
      <c r="X131" s="10">
        <f t="shared" si="26"/>
        <v>5</v>
      </c>
      <c r="Y131" s="10">
        <f t="shared" si="27"/>
        <v>7.6454079060574304E-3</v>
      </c>
      <c r="Z131" s="10">
        <f t="shared" si="28"/>
        <v>7.6454079060574304E-3</v>
      </c>
      <c r="AA131" s="10">
        <f t="shared" si="29"/>
        <v>1</v>
      </c>
      <c r="AB131" s="10">
        <f t="shared" si="30"/>
        <v>4.9649312367582151E-4</v>
      </c>
      <c r="AC131" s="10">
        <f t="shared" si="31"/>
        <v>5.2025144504848235E-2</v>
      </c>
      <c r="AD131" s="10">
        <f t="shared" si="32"/>
        <v>4</v>
      </c>
      <c r="AE131" s="5" t="s">
        <v>469</v>
      </c>
      <c r="AF131" s="26"/>
      <c r="AG131" s="26"/>
      <c r="AH131" s="26"/>
      <c r="AI131" s="26"/>
      <c r="AJ131" s="26"/>
      <c r="AK131" s="26"/>
      <c r="AL131" s="26">
        <v>1.4057050745401639E-3</v>
      </c>
      <c r="AM131" s="26">
        <v>2.0302118043895581E-3</v>
      </c>
      <c r="AN131" s="26">
        <v>2.8583935331319616E-3</v>
      </c>
      <c r="AO131" s="26">
        <v>4.2169070124698175E-3</v>
      </c>
      <c r="AP131" s="26">
        <v>4.1538873949769684E-4</v>
      </c>
      <c r="AQ131" s="26">
        <v>9.2192175678985889E-4</v>
      </c>
      <c r="AR131" s="26">
        <v>3.5666012745270751E-3</v>
      </c>
      <c r="AS131" s="26">
        <v>8.4364553563357914E-3</v>
      </c>
      <c r="AT131" s="26">
        <v>1.6504315920806371E-2</v>
      </c>
      <c r="AU131" s="26"/>
      <c r="AV131" s="26"/>
      <c r="AW131" s="26"/>
      <c r="AX131" s="26"/>
      <c r="AY131" s="26"/>
      <c r="AZ131" s="26"/>
      <c r="BA131" s="26"/>
      <c r="BB131" s="26"/>
      <c r="BC131" s="26"/>
      <c r="BD131" s="26"/>
      <c r="BE131" s="26"/>
      <c r="BF131" s="26"/>
      <c r="BG131" s="26"/>
      <c r="BH131" s="26"/>
      <c r="BI131" s="26">
        <v>3.9377765997847518E-4</v>
      </c>
      <c r="BJ131" s="26">
        <v>1.6757898116064275E-3</v>
      </c>
      <c r="BK131" s="26">
        <v>9.5360937302515429E-4</v>
      </c>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v>1.6088934942491806E-2</v>
      </c>
      <c r="DN131" s="26">
        <v>4.7537131996079444E-2</v>
      </c>
      <c r="DO131" s="26">
        <v>2.3709200790725592E-2</v>
      </c>
      <c r="DP131" s="26"/>
      <c r="DQ131" s="26">
        <v>4.3013429674093225E-2</v>
      </c>
      <c r="DR131" s="26"/>
      <c r="DS131" s="26"/>
      <c r="DT131" s="26"/>
      <c r="DU131" s="26"/>
      <c r="DV131" s="26">
        <v>7.6454079060574304E-3</v>
      </c>
      <c r="DW131" s="26"/>
      <c r="DX131" s="26"/>
      <c r="DY131" s="26">
        <v>4.9649312367582151E-4</v>
      </c>
      <c r="DZ131" s="26">
        <v>8.8375014585805722E-3</v>
      </c>
      <c r="EA131" s="26">
        <v>2.7148436577499702E-2</v>
      </c>
      <c r="EB131" s="26">
        <v>5.2025144504848235E-2</v>
      </c>
      <c r="EC131" s="26"/>
      <c r="ED131" s="26"/>
      <c r="EE131" s="26"/>
      <c r="EF131" s="26"/>
      <c r="EG131" s="26"/>
      <c r="EH131" s="26"/>
      <c r="EI131" s="26"/>
      <c r="EJ131" s="26"/>
      <c r="EK131" s="26"/>
      <c r="EL131" s="26"/>
      <c r="EM131" s="26">
        <v>9.2637600760913806E-4</v>
      </c>
      <c r="EN131" s="26">
        <v>1.0514362532681764E-2</v>
      </c>
      <c r="EO131" s="26"/>
      <c r="EP131" s="26"/>
      <c r="EQ131" s="26"/>
      <c r="ER131" s="26">
        <v>7.2394905974131518E-4</v>
      </c>
      <c r="ES131" s="26">
        <v>1.6227587907262149E-2</v>
      </c>
      <c r="ET131" s="26"/>
      <c r="EU131" s="26"/>
      <c r="EV131" s="26"/>
      <c r="EW131" s="26">
        <v>8.7815206462358967E-4</v>
      </c>
      <c r="EX131" s="26">
        <v>9.6009837146778972E-3</v>
      </c>
      <c r="EY131" s="26"/>
      <c r="EZ131" s="26"/>
      <c r="FA131" s="26"/>
      <c r="FB131" s="26">
        <v>4.98266332480817E-4</v>
      </c>
      <c r="FC131" s="26">
        <v>9.3184174255641957E-3</v>
      </c>
      <c r="FD131" s="26"/>
      <c r="FE131" s="26"/>
      <c r="FF131" s="26"/>
      <c r="FG131" s="26">
        <v>4.9757341685584364E-4</v>
      </c>
      <c r="FH131" s="26">
        <v>9.323479321871192E-3</v>
      </c>
      <c r="FI131" s="26"/>
      <c r="FJ131" s="26"/>
      <c r="FK131" s="26"/>
    </row>
    <row r="132" spans="3:167" x14ac:dyDescent="0.2">
      <c r="C132" s="10">
        <f t="shared" si="33"/>
        <v>2.3386408163868113</v>
      </c>
      <c r="D132" s="10">
        <f t="shared" si="34"/>
        <v>6.7000220251862812</v>
      </c>
      <c r="E132" s="10" cm="1">
        <f t="array" ref="E132">gavg(AF132,EL132)</f>
        <v>3.5785752456254771</v>
      </c>
      <c r="F132" s="10" cm="1">
        <f t="array" ref="F132">lnstdev(AF132,EL132)</f>
        <v>0.36828069435067751</v>
      </c>
      <c r="G132" s="10">
        <f t="shared" si="35"/>
        <v>21</v>
      </c>
      <c r="H132" s="10">
        <f t="shared" si="36"/>
        <v>2.582688448854412</v>
      </c>
      <c r="I132" s="10">
        <f t="shared" si="37"/>
        <v>3.2210611015867991</v>
      </c>
      <c r="J132" s="10"/>
      <c r="K132" s="10"/>
      <c r="L132" s="10">
        <f t="shared" si="38"/>
        <v>4</v>
      </c>
      <c r="M132" s="10">
        <f t="shared" si="39"/>
        <v>2.3386408163868113</v>
      </c>
      <c r="N132" s="10">
        <f t="shared" si="40"/>
        <v>4.6983376936211325</v>
      </c>
      <c r="O132" s="10">
        <f t="shared" si="41"/>
        <v>8</v>
      </c>
      <c r="P132" s="10">
        <f t="shared" si="42"/>
        <v>0</v>
      </c>
      <c r="Q132" s="10">
        <f t="shared" si="43"/>
        <v>0</v>
      </c>
      <c r="R132" s="10">
        <f t="shared" si="44"/>
        <v>0</v>
      </c>
      <c r="S132" s="10">
        <f t="shared" si="45"/>
        <v>4.6627232047904279</v>
      </c>
      <c r="T132" s="10">
        <f t="shared" si="46"/>
        <v>6.511341832349915</v>
      </c>
      <c r="U132" s="10">
        <f t="shared" si="47"/>
        <v>4</v>
      </c>
      <c r="V132" s="10">
        <f t="shared" si="24"/>
        <v>2.3567260701124382</v>
      </c>
      <c r="W132" s="10">
        <f t="shared" si="25"/>
        <v>6.7000220251862812</v>
      </c>
      <c r="X132" s="10">
        <f t="shared" si="26"/>
        <v>5</v>
      </c>
      <c r="Y132" s="10">
        <f t="shared" si="27"/>
        <v>3.7638566079207498</v>
      </c>
      <c r="Z132" s="10">
        <f t="shared" si="28"/>
        <v>3.7638566079207498</v>
      </c>
      <c r="AA132" s="10">
        <f t="shared" si="29"/>
        <v>1</v>
      </c>
      <c r="AB132" s="10">
        <f t="shared" si="30"/>
        <v>2.3567260701124382</v>
      </c>
      <c r="AC132" s="10">
        <f t="shared" si="31"/>
        <v>6.7000220251862812</v>
      </c>
      <c r="AD132" s="10">
        <f t="shared" si="32"/>
        <v>4</v>
      </c>
      <c r="AE132" s="5" t="s">
        <v>495</v>
      </c>
      <c r="AF132" s="26"/>
      <c r="AG132" s="26"/>
      <c r="AH132" s="26"/>
      <c r="AI132" s="26"/>
      <c r="AJ132" s="26"/>
      <c r="AK132" s="26"/>
      <c r="AL132" s="26">
        <v>2.582688448854412</v>
      </c>
      <c r="AM132" s="26">
        <v>2.7455609433353936</v>
      </c>
      <c r="AN132" s="26">
        <v>2.9426323428190644</v>
      </c>
      <c r="AO132" s="26">
        <v>3.2210611015867991</v>
      </c>
      <c r="AP132" s="26">
        <v>2.3421893530600095</v>
      </c>
      <c r="AQ132" s="26">
        <v>2.4544848207188941</v>
      </c>
      <c r="AR132" s="26">
        <v>3.093947974121972</v>
      </c>
      <c r="AS132" s="26">
        <v>3.8680530060850651</v>
      </c>
      <c r="AT132" s="26">
        <v>4.6983376936211325</v>
      </c>
      <c r="AU132" s="26"/>
      <c r="AV132" s="26"/>
      <c r="AW132" s="26"/>
      <c r="AX132" s="26"/>
      <c r="AY132" s="26"/>
      <c r="AZ132" s="26"/>
      <c r="BA132" s="26"/>
      <c r="BB132" s="26"/>
      <c r="BC132" s="26"/>
      <c r="BD132" s="26"/>
      <c r="BE132" s="26"/>
      <c r="BF132" s="26"/>
      <c r="BG132" s="26"/>
      <c r="BH132" s="26"/>
      <c r="BI132" s="26">
        <v>2.3386408163868113</v>
      </c>
      <c r="BJ132" s="26">
        <v>2.65433984013869</v>
      </c>
      <c r="BK132" s="26">
        <v>2.4626350559791623</v>
      </c>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v>4.6627232047904279</v>
      </c>
      <c r="DN132" s="26">
        <v>6.511341832349915</v>
      </c>
      <c r="DO132" s="26">
        <v>5.2426854538495817</v>
      </c>
      <c r="DP132" s="26"/>
      <c r="DQ132" s="26">
        <v>6.3090840868268598</v>
      </c>
      <c r="DR132" s="26"/>
      <c r="DS132" s="26"/>
      <c r="DT132" s="26"/>
      <c r="DU132" s="26"/>
      <c r="DV132" s="26">
        <v>3.7638566079207498</v>
      </c>
      <c r="DW132" s="26"/>
      <c r="DX132" s="26"/>
      <c r="DY132" s="26">
        <v>2.3567260701124382</v>
      </c>
      <c r="DZ132" s="26">
        <v>3.9186896460584464</v>
      </c>
      <c r="EA132" s="26">
        <v>5.4655454390209384</v>
      </c>
      <c r="EB132" s="26">
        <v>6.7000220251862812</v>
      </c>
      <c r="EC132" s="26"/>
      <c r="ED132" s="26"/>
      <c r="EE132" s="26"/>
      <c r="EF132" s="26"/>
      <c r="EG132" s="26"/>
      <c r="EH132" s="26"/>
      <c r="EI132" s="26"/>
      <c r="EJ132" s="26"/>
      <c r="EK132" s="26"/>
      <c r="EL132" s="26"/>
      <c r="EM132" s="26">
        <v>2.4556262892660037</v>
      </c>
      <c r="EN132" s="26">
        <v>4.116783732718754</v>
      </c>
      <c r="EO132" s="26"/>
      <c r="EP132" s="26"/>
      <c r="EQ132" s="26"/>
      <c r="ER132" s="26">
        <v>2.4056185029759201</v>
      </c>
      <c r="ES132" s="26">
        <v>4.6746743555885395</v>
      </c>
      <c r="ET132" s="26"/>
      <c r="EU132" s="26"/>
      <c r="EV132" s="26"/>
      <c r="EW132" s="26">
        <v>2.443348759295445</v>
      </c>
      <c r="EX132" s="26">
        <v>4.0114444109745966</v>
      </c>
      <c r="EY132" s="26"/>
      <c r="EZ132" s="26"/>
      <c r="FA132" s="26"/>
      <c r="FB132" s="26">
        <v>2.3570639273801275</v>
      </c>
      <c r="FC132" s="26">
        <v>3.9776462503790326</v>
      </c>
      <c r="FD132" s="26"/>
      <c r="FE132" s="26"/>
      <c r="FF132" s="26"/>
      <c r="FG132" s="26">
        <v>2.3569318069186815</v>
      </c>
      <c r="FH132" s="26">
        <v>3.9782570538937669</v>
      </c>
      <c r="FI132" s="26"/>
      <c r="FJ132" s="26"/>
      <c r="FK132" s="26"/>
    </row>
    <row r="133" spans="3:167" x14ac:dyDescent="0.2">
      <c r="C133" s="10">
        <f t="shared" si="33"/>
        <v>0.92832681817092955</v>
      </c>
      <c r="D133" s="10">
        <f t="shared" si="34"/>
        <v>6.6989961821952573</v>
      </c>
      <c r="E133" s="10" cm="1">
        <f t="array" ref="E133">gavg(AF133,EL133)</f>
        <v>2.9967593475807055</v>
      </c>
      <c r="F133" s="10" cm="1">
        <f t="array" ref="F133">lnstdev(AF133,EL133)</f>
        <v>0.60886168872999291</v>
      </c>
      <c r="G133" s="10">
        <f t="shared" si="35"/>
        <v>21</v>
      </c>
      <c r="H133" s="10">
        <f t="shared" si="36"/>
        <v>2.1676957220619273</v>
      </c>
      <c r="I133" s="10">
        <f t="shared" si="37"/>
        <v>3.1485053327456178</v>
      </c>
      <c r="J133" s="10"/>
      <c r="K133" s="10"/>
      <c r="L133" s="10">
        <f t="shared" si="38"/>
        <v>4</v>
      </c>
      <c r="M133" s="10">
        <f t="shared" si="39"/>
        <v>0.92832681817092955</v>
      </c>
      <c r="N133" s="10">
        <f t="shared" si="40"/>
        <v>4.6912043976393853</v>
      </c>
      <c r="O133" s="10">
        <f t="shared" si="41"/>
        <v>8</v>
      </c>
      <c r="P133" s="10">
        <f t="shared" si="42"/>
        <v>0</v>
      </c>
      <c r="Q133" s="10">
        <f t="shared" si="43"/>
        <v>0</v>
      </c>
      <c r="R133" s="10">
        <f t="shared" si="44"/>
        <v>0</v>
      </c>
      <c r="S133" s="10">
        <f t="shared" si="45"/>
        <v>4.655274608843686</v>
      </c>
      <c r="T133" s="10">
        <f t="shared" si="46"/>
        <v>6.5101478000440478</v>
      </c>
      <c r="U133" s="10">
        <f t="shared" si="47"/>
        <v>4</v>
      </c>
      <c r="V133" s="10">
        <f t="shared" si="24"/>
        <v>1.1282713170043712</v>
      </c>
      <c r="W133" s="10">
        <f t="shared" si="25"/>
        <v>6.6989961821952573</v>
      </c>
      <c r="X133" s="10">
        <f t="shared" si="26"/>
        <v>5</v>
      </c>
      <c r="Y133" s="10">
        <f t="shared" si="27"/>
        <v>3.7374463339935469</v>
      </c>
      <c r="Z133" s="10">
        <f t="shared" si="28"/>
        <v>3.7374463339935469</v>
      </c>
      <c r="AA133" s="10">
        <f t="shared" si="29"/>
        <v>1</v>
      </c>
      <c r="AB133" s="10">
        <f t="shared" si="30"/>
        <v>1.1282713170043712</v>
      </c>
      <c r="AC133" s="10">
        <f t="shared" si="31"/>
        <v>6.6989961821952573</v>
      </c>
      <c r="AD133" s="10">
        <f t="shared" si="32"/>
        <v>4</v>
      </c>
      <c r="AE133" s="5" t="s">
        <v>496</v>
      </c>
      <c r="AF133" s="26"/>
      <c r="AG133" s="26"/>
      <c r="AH133" s="26"/>
      <c r="AI133" s="26"/>
      <c r="AJ133" s="26"/>
      <c r="AK133" s="26"/>
      <c r="AL133" s="26">
        <v>2.1676957220619273</v>
      </c>
      <c r="AM133" s="26">
        <v>2.5051628313462424</v>
      </c>
      <c r="AN133" s="26">
        <v>2.8038231739202484</v>
      </c>
      <c r="AO133" s="26">
        <v>3.1485053327456178</v>
      </c>
      <c r="AP133" s="26">
        <v>0.97216101567427959</v>
      </c>
      <c r="AQ133" s="26">
        <v>1.7463659875741904</v>
      </c>
      <c r="AR133" s="26">
        <v>2.9978052524836754</v>
      </c>
      <c r="AS133" s="26">
        <v>3.8457209043532141</v>
      </c>
      <c r="AT133" s="26">
        <v>4.6912043976393853</v>
      </c>
      <c r="AU133" s="26"/>
      <c r="AV133" s="26"/>
      <c r="AW133" s="26"/>
      <c r="AX133" s="26"/>
      <c r="AY133" s="26"/>
      <c r="AZ133" s="26"/>
      <c r="BA133" s="26"/>
      <c r="BB133" s="26"/>
      <c r="BC133" s="26"/>
      <c r="BD133" s="26"/>
      <c r="BE133" s="26"/>
      <c r="BF133" s="26"/>
      <c r="BG133" s="26"/>
      <c r="BH133" s="26"/>
      <c r="BI133" s="26">
        <v>0.92832681817092955</v>
      </c>
      <c r="BJ133" s="26">
        <v>2.3323164444151061</v>
      </c>
      <c r="BK133" s="26">
        <v>1.7811389937737234</v>
      </c>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v>4.655274608843686</v>
      </c>
      <c r="DN133" s="26">
        <v>6.5101478000440478</v>
      </c>
      <c r="DO133" s="26">
        <v>5.238823821379837</v>
      </c>
      <c r="DP133" s="26"/>
      <c r="DQ133" s="26">
        <v>6.3076710832549807</v>
      </c>
      <c r="DR133" s="26"/>
      <c r="DS133" s="26"/>
      <c r="DT133" s="26"/>
      <c r="DU133" s="26"/>
      <c r="DV133" s="26">
        <v>3.7374463339935469</v>
      </c>
      <c r="DW133" s="26"/>
      <c r="DX133" s="26"/>
      <c r="DY133" s="26">
        <v>1.1282713170043712</v>
      </c>
      <c r="DZ133" s="26">
        <v>3.8980561792780204</v>
      </c>
      <c r="EA133" s="26">
        <v>5.4624742348537918</v>
      </c>
      <c r="EB133" s="26">
        <v>6.6989961821952573</v>
      </c>
      <c r="EC133" s="26"/>
      <c r="ED133" s="26"/>
      <c r="EE133" s="26"/>
      <c r="EF133" s="26"/>
      <c r="EG133" s="26"/>
      <c r="EH133" s="26"/>
      <c r="EI133" s="26"/>
      <c r="EJ133" s="26"/>
      <c r="EK133" s="26"/>
      <c r="EL133" s="26"/>
      <c r="EM133" s="26">
        <v>1.7513310108949458</v>
      </c>
      <c r="EN133" s="26">
        <v>4.1014344181787532</v>
      </c>
      <c r="EO133" s="26"/>
      <c r="EP133" s="26"/>
      <c r="EQ133" s="26"/>
      <c r="ER133" s="26">
        <v>1.4971574461465149</v>
      </c>
      <c r="ES133" s="26">
        <v>4.6673334355628873</v>
      </c>
      <c r="ET133" s="26"/>
      <c r="EU133" s="26"/>
      <c r="EV133" s="26"/>
      <c r="EW133" s="26">
        <v>1.6961842328065062</v>
      </c>
      <c r="EX133" s="26">
        <v>3.9935266825616775</v>
      </c>
      <c r="EY133" s="26"/>
      <c r="EZ133" s="26"/>
      <c r="FA133" s="26"/>
      <c r="FB133" s="26">
        <v>1.1315357115726707</v>
      </c>
      <c r="FC133" s="26">
        <v>3.9587934165323806</v>
      </c>
      <c r="FD133" s="26"/>
      <c r="FE133" s="26"/>
      <c r="FF133" s="26"/>
      <c r="FG133" s="26">
        <v>1.1302608420228484</v>
      </c>
      <c r="FH133" s="26">
        <v>3.9594216486053413</v>
      </c>
      <c r="FI133" s="26"/>
      <c r="FJ133" s="26"/>
      <c r="FK133" s="26"/>
    </row>
    <row r="134" spans="3:167" x14ac:dyDescent="0.2">
      <c r="C134" s="10">
        <f t="shared" si="33"/>
        <v>0.11724030413918184</v>
      </c>
      <c r="D134" s="10">
        <f t="shared" si="34"/>
        <v>2.1464971900133039</v>
      </c>
      <c r="E134" s="10" cm="1">
        <f t="array" ref="E134">gavg(AF134,EL134)</f>
        <v>0.57621927218101798</v>
      </c>
      <c r="F134" s="10" cm="1">
        <f t="array" ref="F134">lnstdev(AF134,EL134)</f>
        <v>1.0149368549931801</v>
      </c>
      <c r="G134" s="10">
        <f t="shared" si="35"/>
        <v>21</v>
      </c>
      <c r="H134" s="10">
        <f t="shared" si="36"/>
        <v>0.67981526154387617</v>
      </c>
      <c r="I134" s="10">
        <f t="shared" si="37"/>
        <v>1.4040565801991127</v>
      </c>
      <c r="J134" s="10"/>
      <c r="K134" s="10"/>
      <c r="L134" s="10">
        <f t="shared" si="38"/>
        <v>4</v>
      </c>
      <c r="M134" s="10">
        <f t="shared" si="39"/>
        <v>0.25880182161265619</v>
      </c>
      <c r="N134" s="10">
        <f t="shared" si="40"/>
        <v>2.1464971900133039</v>
      </c>
      <c r="O134" s="10">
        <f t="shared" si="41"/>
        <v>8</v>
      </c>
      <c r="P134" s="10">
        <f t="shared" si="42"/>
        <v>0</v>
      </c>
      <c r="Q134" s="10">
        <f t="shared" si="43"/>
        <v>0</v>
      </c>
      <c r="R134" s="10">
        <f t="shared" si="44"/>
        <v>0</v>
      </c>
      <c r="S134" s="10">
        <f t="shared" si="45"/>
        <v>0.12469193755646926</v>
      </c>
      <c r="T134" s="10">
        <f t="shared" si="46"/>
        <v>0.26345018646108948</v>
      </c>
      <c r="U134" s="10">
        <f t="shared" si="47"/>
        <v>4</v>
      </c>
      <c r="V134" s="10">
        <f t="shared" si="24"/>
        <v>0.11724030413918184</v>
      </c>
      <c r="W134" s="10">
        <f t="shared" si="25"/>
        <v>2.0690968089417274</v>
      </c>
      <c r="X134" s="10">
        <f t="shared" si="26"/>
        <v>5</v>
      </c>
      <c r="Y134" s="10">
        <f t="shared" si="27"/>
        <v>0.44509714165212561</v>
      </c>
      <c r="Z134" s="10">
        <f t="shared" si="28"/>
        <v>0.44509714165212561</v>
      </c>
      <c r="AA134" s="10">
        <f t="shared" si="29"/>
        <v>1</v>
      </c>
      <c r="AB134" s="10">
        <f t="shared" si="30"/>
        <v>0.11724030413918184</v>
      </c>
      <c r="AC134" s="10">
        <f t="shared" si="31"/>
        <v>2.0690968089417274</v>
      </c>
      <c r="AD134" s="10">
        <f t="shared" si="32"/>
        <v>4</v>
      </c>
      <c r="AE134" s="5" t="s">
        <v>497</v>
      </c>
      <c r="AF134" s="26"/>
      <c r="AG134" s="26"/>
      <c r="AH134" s="26"/>
      <c r="AI134" s="26"/>
      <c r="AJ134" s="26"/>
      <c r="AK134" s="26"/>
      <c r="AL134" s="26">
        <v>1.4040565801991127</v>
      </c>
      <c r="AM134" s="26">
        <v>1.1235052656797013</v>
      </c>
      <c r="AN134" s="26">
        <v>0.89311853322646872</v>
      </c>
      <c r="AO134" s="26">
        <v>0.67981526154387617</v>
      </c>
      <c r="AP134" s="26">
        <v>2.1309044852341033</v>
      </c>
      <c r="AQ134" s="26">
        <v>1.7247323191102684</v>
      </c>
      <c r="AR134" s="26">
        <v>0.76529584786194993</v>
      </c>
      <c r="AS134" s="26">
        <v>0.41504792940623936</v>
      </c>
      <c r="AT134" s="26">
        <v>0.25880182161265619</v>
      </c>
      <c r="AU134" s="26"/>
      <c r="AV134" s="26"/>
      <c r="AW134" s="26"/>
      <c r="AX134" s="26"/>
      <c r="AY134" s="26"/>
      <c r="AZ134" s="26"/>
      <c r="BA134" s="26"/>
      <c r="BB134" s="26"/>
      <c r="BC134" s="26"/>
      <c r="BD134" s="26"/>
      <c r="BE134" s="26"/>
      <c r="BF134" s="26"/>
      <c r="BG134" s="26"/>
      <c r="BH134" s="26"/>
      <c r="BI134" s="26">
        <v>2.1464971900133039</v>
      </c>
      <c r="BJ134" s="26">
        <v>1.2672095288697769</v>
      </c>
      <c r="BK134" s="26">
        <v>1.7006220343733702</v>
      </c>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v>0.26345018646108948</v>
      </c>
      <c r="DN134" s="26">
        <v>0.12469193755646926</v>
      </c>
      <c r="DO134" s="26">
        <v>0.2011858259151319</v>
      </c>
      <c r="DP134" s="26"/>
      <c r="DQ134" s="26">
        <v>0.13351973682135615</v>
      </c>
      <c r="DR134" s="26"/>
      <c r="DS134" s="26"/>
      <c r="DT134" s="26"/>
      <c r="DU134" s="26"/>
      <c r="DV134" s="26">
        <v>0.44509714165212561</v>
      </c>
      <c r="DW134" s="26"/>
      <c r="DX134" s="26"/>
      <c r="DY134" s="26">
        <v>2.0690968089417274</v>
      </c>
      <c r="DZ134" s="26">
        <v>0.40160498666987138</v>
      </c>
      <c r="EA134" s="26">
        <v>0.18319983504647863</v>
      </c>
      <c r="EB134" s="26">
        <v>0.11724030413918184</v>
      </c>
      <c r="EC134" s="26"/>
      <c r="ED134" s="26"/>
      <c r="EE134" s="26"/>
      <c r="EF134" s="26"/>
      <c r="EG134" s="26"/>
      <c r="EH134" s="26"/>
      <c r="EI134" s="26"/>
      <c r="EJ134" s="26"/>
      <c r="EK134" s="26"/>
      <c r="EL134" s="26"/>
      <c r="EM134" s="26">
        <v>1.7213193087896299</v>
      </c>
      <c r="EN134" s="26">
        <v>0.35516758770539258</v>
      </c>
      <c r="EO134" s="26"/>
      <c r="EP134" s="26"/>
      <c r="EQ134" s="26"/>
      <c r="ER134" s="26">
        <v>1.8829551145229542</v>
      </c>
      <c r="ES134" s="26">
        <v>0.26187579512787168</v>
      </c>
      <c r="ET134" s="26"/>
      <c r="EU134" s="26"/>
      <c r="EV134" s="26"/>
      <c r="EW134" s="26">
        <v>1.7586677366487375</v>
      </c>
      <c r="EX134" s="26">
        <v>0.37872271915908762</v>
      </c>
      <c r="EY134" s="26"/>
      <c r="EZ134" s="26"/>
      <c r="FA134" s="26"/>
      <c r="FB134" s="26">
        <v>2.0676985494003617</v>
      </c>
      <c r="FC134" s="26">
        <v>0.38681310522558471</v>
      </c>
      <c r="FD134" s="26"/>
      <c r="FE134" s="26"/>
      <c r="FF134" s="26"/>
      <c r="FG134" s="26">
        <v>2.0682451429786468</v>
      </c>
      <c r="FH134" s="26">
        <v>0.38666444808240535</v>
      </c>
      <c r="FI134" s="26"/>
      <c r="FJ134" s="26"/>
      <c r="FK134" s="26"/>
    </row>
    <row r="135" spans="3:167" x14ac:dyDescent="0.2">
      <c r="C135" s="10">
        <f t="shared" si="33"/>
        <v>5.3790725382448341E-2</v>
      </c>
      <c r="D135" s="10">
        <f t="shared" si="34"/>
        <v>0.17080325413151098</v>
      </c>
      <c r="E135" s="10" cm="1">
        <f t="array" ref="E135">gavg(AF135,EL135)</f>
        <v>8.6690795215673397E-2</v>
      </c>
      <c r="F135" s="10" cm="1">
        <f t="array" ref="F135">lnstdev(AF135,EL135)</f>
        <v>0.40443555499742667</v>
      </c>
      <c r="G135" s="10">
        <f t="shared" si="35"/>
        <v>21</v>
      </c>
      <c r="H135" s="10">
        <f t="shared" si="36"/>
        <v>6.0568841087687141E-2</v>
      </c>
      <c r="I135" s="10">
        <f t="shared" si="37"/>
        <v>7.791789460688639E-2</v>
      </c>
      <c r="J135" s="10"/>
      <c r="K135" s="10"/>
      <c r="L135" s="10">
        <f t="shared" si="38"/>
        <v>4</v>
      </c>
      <c r="M135" s="10">
        <f t="shared" si="39"/>
        <v>5.3790725382448341E-2</v>
      </c>
      <c r="N135" s="10">
        <f t="shared" si="40"/>
        <v>0.11745951339370754</v>
      </c>
      <c r="O135" s="10">
        <f t="shared" si="41"/>
        <v>8</v>
      </c>
      <c r="P135" s="10">
        <f t="shared" si="42"/>
        <v>0</v>
      </c>
      <c r="Q135" s="10">
        <f t="shared" si="43"/>
        <v>0</v>
      </c>
      <c r="R135" s="10">
        <f t="shared" si="44"/>
        <v>0</v>
      </c>
      <c r="S135" s="10">
        <f t="shared" si="45"/>
        <v>0.11650939561130151</v>
      </c>
      <c r="T135" s="10">
        <f t="shared" si="46"/>
        <v>0.16577717917118356</v>
      </c>
      <c r="U135" s="10">
        <f t="shared" si="47"/>
        <v>4</v>
      </c>
      <c r="V135" s="10">
        <f t="shared" si="24"/>
        <v>5.4298004370645164E-2</v>
      </c>
      <c r="W135" s="10">
        <f t="shared" si="25"/>
        <v>0.17080325413151098</v>
      </c>
      <c r="X135" s="10">
        <f t="shared" si="26"/>
        <v>5</v>
      </c>
      <c r="Y135" s="10">
        <f t="shared" si="27"/>
        <v>9.2492583254057611E-2</v>
      </c>
      <c r="Z135" s="10">
        <f t="shared" si="28"/>
        <v>9.2492583254057611E-2</v>
      </c>
      <c r="AA135" s="10">
        <f t="shared" si="29"/>
        <v>1</v>
      </c>
      <c r="AB135" s="10">
        <f t="shared" si="30"/>
        <v>5.4298004370645164E-2</v>
      </c>
      <c r="AC135" s="10">
        <f t="shared" si="31"/>
        <v>0.17080325413151098</v>
      </c>
      <c r="AD135" s="10">
        <f t="shared" si="32"/>
        <v>4</v>
      </c>
      <c r="AE135" s="5" t="s">
        <v>503</v>
      </c>
      <c r="AF135" s="26"/>
      <c r="AG135" s="26"/>
      <c r="AH135" s="26"/>
      <c r="AI135" s="26"/>
      <c r="AJ135" s="26"/>
      <c r="AK135" s="26"/>
      <c r="AL135" s="26">
        <v>6.0568841087687141E-2</v>
      </c>
      <c r="AM135" s="26">
        <v>6.5032794693423226E-2</v>
      </c>
      <c r="AN135" s="26">
        <v>7.0393621356656999E-2</v>
      </c>
      <c r="AO135" s="26">
        <v>7.791789460688639E-2</v>
      </c>
      <c r="AP135" s="26">
        <v>5.3890336115310349E-2</v>
      </c>
      <c r="AQ135" s="26">
        <v>5.7024788111407348E-2</v>
      </c>
      <c r="AR135" s="26">
        <v>7.4488517359089221E-2</v>
      </c>
      <c r="AS135" s="26">
        <v>9.5281869562282726E-2</v>
      </c>
      <c r="AT135" s="26">
        <v>0.11745951339370754</v>
      </c>
      <c r="AU135" s="26"/>
      <c r="AV135" s="26"/>
      <c r="AW135" s="26"/>
      <c r="AX135" s="26"/>
      <c r="AY135" s="26"/>
      <c r="AZ135" s="26"/>
      <c r="BA135" s="26"/>
      <c r="BB135" s="26"/>
      <c r="BC135" s="26"/>
      <c r="BD135" s="26"/>
      <c r="BE135" s="26"/>
      <c r="BF135" s="26"/>
      <c r="BG135" s="26"/>
      <c r="BH135" s="26"/>
      <c r="BI135" s="26">
        <v>5.3790725382448341E-2</v>
      </c>
      <c r="BJ135" s="26">
        <v>6.2537167697754414E-2</v>
      </c>
      <c r="BK135" s="26">
        <v>5.7251076411420763E-2</v>
      </c>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v>0.11650939561130151</v>
      </c>
      <c r="DN135" s="26">
        <v>0.16577717917118356</v>
      </c>
      <c r="DO135" s="26">
        <v>0.13197444985933635</v>
      </c>
      <c r="DP135" s="26"/>
      <c r="DQ135" s="26">
        <v>0.16038924497824261</v>
      </c>
      <c r="DR135" s="26"/>
      <c r="DS135" s="26"/>
      <c r="DT135" s="26"/>
      <c r="DU135" s="26"/>
      <c r="DV135" s="26">
        <v>9.2492583254057611E-2</v>
      </c>
      <c r="DW135" s="26"/>
      <c r="DX135" s="26"/>
      <c r="DY135" s="26">
        <v>5.4298004370645164E-2</v>
      </c>
      <c r="DZ135" s="26">
        <v>9.6636707016313522E-2</v>
      </c>
      <c r="EA135" s="26">
        <v>0.13791422054364871</v>
      </c>
      <c r="EB135" s="26">
        <v>0.17080325413151098</v>
      </c>
      <c r="EC135" s="26"/>
      <c r="ED135" s="26"/>
      <c r="EE135" s="26"/>
      <c r="EF135" s="26"/>
      <c r="EG135" s="26"/>
      <c r="EH135" s="26"/>
      <c r="EI135" s="26"/>
      <c r="EJ135" s="26"/>
      <c r="EK135" s="26"/>
      <c r="EL135" s="26"/>
      <c r="EM135" s="26">
        <v>5.7056489467541431E-2</v>
      </c>
      <c r="EN135" s="26">
        <v>0.10193330603462264</v>
      </c>
      <c r="EO135" s="26"/>
      <c r="EP135" s="26"/>
      <c r="EQ135" s="26"/>
      <c r="ER135" s="26">
        <v>5.5664798746705352E-2</v>
      </c>
      <c r="ES135" s="26">
        <v>0.11682823452856192</v>
      </c>
      <c r="ET135" s="26"/>
      <c r="EU135" s="26"/>
      <c r="EV135" s="26"/>
      <c r="EW135" s="26">
        <v>5.6715358055720269E-2</v>
      </c>
      <c r="EX135" s="26">
        <v>9.9117435019751135E-2</v>
      </c>
      <c r="EY135" s="26"/>
      <c r="EZ135" s="26"/>
      <c r="FA135" s="26"/>
      <c r="FB135" s="26">
        <v>5.4307471902707828E-2</v>
      </c>
      <c r="FC135" s="26">
        <v>9.8213648251011407E-2</v>
      </c>
      <c r="FD135" s="26"/>
      <c r="FE135" s="26"/>
      <c r="FF135" s="26"/>
      <c r="FG135" s="26">
        <v>5.4303769624942898E-2</v>
      </c>
      <c r="FH135" s="26">
        <v>9.8229983010566485E-2</v>
      </c>
      <c r="FI135" s="26"/>
      <c r="FJ135" s="26"/>
      <c r="FK135" s="26"/>
    </row>
    <row r="136" spans="3:167" x14ac:dyDescent="0.2">
      <c r="C136" s="10">
        <f t="shared" si="33"/>
        <v>0.85445300673745028</v>
      </c>
      <c r="D136" s="10">
        <f t="shared" si="34"/>
        <v>9.8213071433888182</v>
      </c>
      <c r="E136" s="10" cm="1">
        <f t="array" ref="E136">gavg(AF136,EL136)</f>
        <v>2.9630224404779235</v>
      </c>
      <c r="F136" s="10" cm="1">
        <f t="array" ref="F136">lnstdev(AF136,EL136)</f>
        <v>0.80345425508360979</v>
      </c>
      <c r="G136" s="10">
        <f t="shared" si="35"/>
        <v>21</v>
      </c>
      <c r="H136" s="10">
        <f t="shared" si="36"/>
        <v>1.6143948063818636</v>
      </c>
      <c r="I136" s="10">
        <f t="shared" si="37"/>
        <v>2.7961447987028745</v>
      </c>
      <c r="J136" s="10"/>
      <c r="K136" s="10"/>
      <c r="L136" s="10">
        <f t="shared" si="38"/>
        <v>4</v>
      </c>
      <c r="M136" s="10">
        <f t="shared" si="39"/>
        <v>0.85445300673745028</v>
      </c>
      <c r="N136" s="10">
        <f t="shared" si="40"/>
        <v>5.5317355430904875</v>
      </c>
      <c r="O136" s="10">
        <f t="shared" si="41"/>
        <v>8</v>
      </c>
      <c r="P136" s="10">
        <f t="shared" si="42"/>
        <v>0</v>
      </c>
      <c r="Q136" s="10">
        <f t="shared" si="43"/>
        <v>0</v>
      </c>
      <c r="R136" s="10">
        <f t="shared" si="44"/>
        <v>0</v>
      </c>
      <c r="S136" s="10">
        <f t="shared" si="45"/>
        <v>5.4616805280644583</v>
      </c>
      <c r="T136" s="10">
        <f t="shared" si="46"/>
        <v>9.3881308400269585</v>
      </c>
      <c r="U136" s="10">
        <f t="shared" si="47"/>
        <v>4</v>
      </c>
      <c r="V136" s="10">
        <f t="shared" si="24"/>
        <v>0.95944318952665708</v>
      </c>
      <c r="W136" s="10">
        <f t="shared" si="25"/>
        <v>9.8213071433888182</v>
      </c>
      <c r="X136" s="10">
        <f t="shared" si="26"/>
        <v>5</v>
      </c>
      <c r="Y136" s="10">
        <f t="shared" si="27"/>
        <v>3.7649826229949488</v>
      </c>
      <c r="Z136" s="10">
        <f t="shared" si="28"/>
        <v>3.7649826229949488</v>
      </c>
      <c r="AA136" s="10">
        <f t="shared" si="29"/>
        <v>1</v>
      </c>
      <c r="AB136" s="10">
        <f t="shared" si="30"/>
        <v>0.95944318952665708</v>
      </c>
      <c r="AC136" s="10">
        <f t="shared" si="31"/>
        <v>9.8213071433888182</v>
      </c>
      <c r="AD136" s="10">
        <f t="shared" si="32"/>
        <v>4</v>
      </c>
      <c r="AE136" s="5" t="s">
        <v>470</v>
      </c>
      <c r="AF136" s="26"/>
      <c r="AG136" s="26"/>
      <c r="AH136" s="26"/>
      <c r="AI136" s="26"/>
      <c r="AJ136" s="26"/>
      <c r="AK136" s="26"/>
      <c r="AL136" s="26">
        <v>1.6143948063818636</v>
      </c>
      <c r="AM136" s="26">
        <v>1.9401411172244991</v>
      </c>
      <c r="AN136" s="26">
        <v>2.3020971953720357</v>
      </c>
      <c r="AO136" s="26">
        <v>2.7961447987028745</v>
      </c>
      <c r="AP136" s="26">
        <v>0.87758664404220332</v>
      </c>
      <c r="AQ136" s="26">
        <v>1.3074036031223182</v>
      </c>
      <c r="AR136" s="26">
        <v>2.5715201139747297</v>
      </c>
      <c r="AS136" s="26">
        <v>3.954965066154386</v>
      </c>
      <c r="AT136" s="26">
        <v>5.5317355430904875</v>
      </c>
      <c r="AU136" s="26"/>
      <c r="AV136" s="26"/>
      <c r="AW136" s="26"/>
      <c r="AX136" s="26"/>
      <c r="AY136" s="26"/>
      <c r="AZ136" s="26"/>
      <c r="BA136" s="26"/>
      <c r="BB136" s="26"/>
      <c r="BC136" s="26"/>
      <c r="BD136" s="26"/>
      <c r="BE136" s="26"/>
      <c r="BF136" s="26"/>
      <c r="BG136" s="26"/>
      <c r="BH136" s="26"/>
      <c r="BI136" s="26">
        <v>0.85445300673745028</v>
      </c>
      <c r="BJ136" s="26">
        <v>1.762675703425572</v>
      </c>
      <c r="BK136" s="26">
        <v>1.3296823406377316</v>
      </c>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v>5.4616805280644583</v>
      </c>
      <c r="DN136" s="26">
        <v>9.3881308400269585</v>
      </c>
      <c r="DO136" s="26">
        <v>6.6301156322246957</v>
      </c>
      <c r="DP136" s="26"/>
      <c r="DQ136" s="26">
        <v>8.9302718911312038</v>
      </c>
      <c r="DR136" s="26"/>
      <c r="DS136" s="26"/>
      <c r="DT136" s="26"/>
      <c r="DU136" s="26"/>
      <c r="DV136" s="26">
        <v>3.7649826229949488</v>
      </c>
      <c r="DW136" s="26"/>
      <c r="DX136" s="26"/>
      <c r="DY136" s="26">
        <v>0.95944318952665708</v>
      </c>
      <c r="DZ136" s="26">
        <v>4.0478778131308895</v>
      </c>
      <c r="EA136" s="26">
        <v>7.094716690461337</v>
      </c>
      <c r="EB136" s="26">
        <v>9.8213071433888182</v>
      </c>
      <c r="EC136" s="26"/>
      <c r="ED136" s="26"/>
      <c r="EE136" s="26"/>
      <c r="EF136" s="26"/>
      <c r="EG136" s="26"/>
      <c r="EH136" s="26"/>
      <c r="EI136" s="26"/>
      <c r="EJ136" s="26"/>
      <c r="EK136" s="26"/>
      <c r="EL136" s="26"/>
      <c r="EM136" s="26">
        <v>1.3105581476521337</v>
      </c>
      <c r="EN136" s="26">
        <v>4.4152380023408355</v>
      </c>
      <c r="EO136" s="26"/>
      <c r="EP136" s="26"/>
      <c r="EQ136" s="26"/>
      <c r="ER136" s="26">
        <v>1.1585549834018851</v>
      </c>
      <c r="ES136" s="26">
        <v>5.4851641724022757</v>
      </c>
      <c r="ET136" s="26"/>
      <c r="EU136" s="26"/>
      <c r="EV136" s="26"/>
      <c r="EW136" s="26">
        <v>1.275990699224635</v>
      </c>
      <c r="EX136" s="26">
        <v>4.2191067315113493</v>
      </c>
      <c r="EY136" s="26"/>
      <c r="EZ136" s="26"/>
      <c r="FA136" s="26"/>
      <c r="FB136" s="26">
        <v>0.96115497233793457</v>
      </c>
      <c r="FC136" s="26">
        <v>4.1565568612314019</v>
      </c>
      <c r="FD136" s="26"/>
      <c r="FE136" s="26"/>
      <c r="FF136" s="26"/>
      <c r="FG136" s="26">
        <v>0.96048642325127032</v>
      </c>
      <c r="FH136" s="26">
        <v>4.1576856582323369</v>
      </c>
      <c r="FI136" s="26"/>
      <c r="FJ136" s="26"/>
      <c r="FK136" s="26"/>
    </row>
    <row r="137" spans="3:167" x14ac:dyDescent="0.2">
      <c r="C137" s="10">
        <f t="shared" si="33"/>
        <v>0.35718259787460149</v>
      </c>
      <c r="D137" s="10">
        <f t="shared" si="34"/>
        <v>4.1055505362366995</v>
      </c>
      <c r="E137" s="10" cm="1">
        <f t="array" ref="E137">gavg(AF137,EL137)</f>
        <v>1.1839262342657697</v>
      </c>
      <c r="F137" s="10" cm="1">
        <f t="array" ref="F137">lnstdev(AF137,EL137)</f>
        <v>0.80345425508360968</v>
      </c>
      <c r="G137" s="10">
        <f t="shared" si="35"/>
        <v>21</v>
      </c>
      <c r="H137" s="10">
        <f t="shared" si="36"/>
        <v>1.2545845271058038</v>
      </c>
      <c r="I137" s="10">
        <f t="shared" si="37"/>
        <v>2.172950498931566</v>
      </c>
      <c r="J137" s="10"/>
      <c r="K137" s="10"/>
      <c r="L137" s="10">
        <f t="shared" si="38"/>
        <v>4</v>
      </c>
      <c r="M137" s="10">
        <f t="shared" si="39"/>
        <v>0.63415902164407134</v>
      </c>
      <c r="N137" s="10">
        <f t="shared" si="40"/>
        <v>4.1055505362366995</v>
      </c>
      <c r="O137" s="10">
        <f t="shared" si="41"/>
        <v>8</v>
      </c>
      <c r="P137" s="10">
        <f t="shared" si="42"/>
        <v>0</v>
      </c>
      <c r="Q137" s="10">
        <f t="shared" si="43"/>
        <v>0</v>
      </c>
      <c r="R137" s="10">
        <f t="shared" si="44"/>
        <v>0</v>
      </c>
      <c r="S137" s="10">
        <f t="shared" si="45"/>
        <v>0.37366330527088454</v>
      </c>
      <c r="T137" s="10">
        <f t="shared" si="46"/>
        <v>0.6422931517093301</v>
      </c>
      <c r="U137" s="10">
        <f t="shared" si="47"/>
        <v>4</v>
      </c>
      <c r="V137" s="10">
        <f t="shared" si="24"/>
        <v>0.35718259787460149</v>
      </c>
      <c r="W137" s="10">
        <f t="shared" si="25"/>
        <v>3.6562873532206499</v>
      </c>
      <c r="X137" s="10">
        <f t="shared" si="26"/>
        <v>5</v>
      </c>
      <c r="Y137" s="10">
        <f t="shared" si="27"/>
        <v>0.93174400821257275</v>
      </c>
      <c r="Z137" s="10">
        <f t="shared" si="28"/>
        <v>0.93174400821257275</v>
      </c>
      <c r="AA137" s="10">
        <f t="shared" si="29"/>
        <v>1</v>
      </c>
      <c r="AB137" s="10">
        <f t="shared" si="30"/>
        <v>0.35718259787460149</v>
      </c>
      <c r="AC137" s="10">
        <f t="shared" si="31"/>
        <v>3.6562873532206499</v>
      </c>
      <c r="AD137" s="10">
        <f t="shared" si="32"/>
        <v>4</v>
      </c>
      <c r="AE137" s="5" t="s">
        <v>471</v>
      </c>
      <c r="AF137" s="26"/>
      <c r="AG137" s="26"/>
      <c r="AH137" s="26"/>
      <c r="AI137" s="26"/>
      <c r="AJ137" s="26"/>
      <c r="AK137" s="26"/>
      <c r="AL137" s="26">
        <v>2.172950498931566</v>
      </c>
      <c r="AM137" s="26">
        <v>1.808115898815869</v>
      </c>
      <c r="AN137" s="26">
        <v>1.5238279283134615</v>
      </c>
      <c r="AO137" s="26">
        <v>1.2545845271058038</v>
      </c>
      <c r="AP137" s="26">
        <v>3.9973261031434961</v>
      </c>
      <c r="AQ137" s="26">
        <v>2.6831806120330826</v>
      </c>
      <c r="AR137" s="26">
        <v>1.3641736578049852</v>
      </c>
      <c r="AS137" s="26">
        <v>0.88698634281768929</v>
      </c>
      <c r="AT137" s="26">
        <v>0.63415902164407134</v>
      </c>
      <c r="AU137" s="26"/>
      <c r="AV137" s="26"/>
      <c r="AW137" s="26"/>
      <c r="AX137" s="26"/>
      <c r="AY137" s="26"/>
      <c r="AZ137" s="26"/>
      <c r="BA137" s="26"/>
      <c r="BB137" s="26"/>
      <c r="BC137" s="26"/>
      <c r="BD137" s="26"/>
      <c r="BE137" s="26"/>
      <c r="BF137" s="26"/>
      <c r="BG137" s="26"/>
      <c r="BH137" s="26"/>
      <c r="BI137" s="26">
        <v>4.1055505362366995</v>
      </c>
      <c r="BJ137" s="26">
        <v>1.9901562114815423</v>
      </c>
      <c r="BK137" s="26">
        <v>2.6382241026962276</v>
      </c>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v>0.6422931517093301</v>
      </c>
      <c r="DN137" s="26">
        <v>0.37366330527088454</v>
      </c>
      <c r="DO137" s="26">
        <v>0.52910087766039626</v>
      </c>
      <c r="DP137" s="26"/>
      <c r="DQ137" s="26">
        <v>0.39282118649532388</v>
      </c>
      <c r="DR137" s="26"/>
      <c r="DS137" s="26"/>
      <c r="DT137" s="26"/>
      <c r="DU137" s="26"/>
      <c r="DV137" s="26">
        <v>0.93174400821257275</v>
      </c>
      <c r="DW137" s="26"/>
      <c r="DX137" s="26"/>
      <c r="DY137" s="26">
        <v>3.6562873532206499</v>
      </c>
      <c r="DZ137" s="26">
        <v>0.86662694921778927</v>
      </c>
      <c r="EA137" s="26">
        <v>0.49445244300120034</v>
      </c>
      <c r="EB137" s="26">
        <v>0.35718259787460149</v>
      </c>
      <c r="EC137" s="26"/>
      <c r="ED137" s="26"/>
      <c r="EE137" s="26"/>
      <c r="EF137" s="26"/>
      <c r="EG137" s="26"/>
      <c r="EH137" s="26"/>
      <c r="EI137" s="26"/>
      <c r="EJ137" s="26"/>
      <c r="EK137" s="26"/>
      <c r="EL137" s="26"/>
      <c r="EM137" s="26">
        <v>2.6767221326917729</v>
      </c>
      <c r="EN137" s="26">
        <v>0.79452115562969794</v>
      </c>
      <c r="EO137" s="26"/>
      <c r="EP137" s="26"/>
      <c r="EQ137" s="26"/>
      <c r="ER137" s="26">
        <v>3.0279098102874653</v>
      </c>
      <c r="ES137" s="26">
        <v>0.63954330075477761</v>
      </c>
      <c r="ET137" s="26"/>
      <c r="EU137" s="26"/>
      <c r="EV137" s="26"/>
      <c r="EW137" s="26">
        <v>2.7492363401486086</v>
      </c>
      <c r="EX137" s="26">
        <v>0.83145561921904243</v>
      </c>
      <c r="EY137" s="26"/>
      <c r="EZ137" s="26"/>
      <c r="FA137" s="26"/>
      <c r="FB137" s="26">
        <v>3.6497756355221913</v>
      </c>
      <c r="FC137" s="26">
        <v>0.84396776397297646</v>
      </c>
      <c r="FD137" s="26"/>
      <c r="FE137" s="26"/>
      <c r="FF137" s="26"/>
      <c r="FG137" s="26">
        <v>3.6523160713977947</v>
      </c>
      <c r="FH137" s="26">
        <v>0.84373862969992897</v>
      </c>
      <c r="FI137" s="26"/>
      <c r="FJ137" s="26"/>
      <c r="FK137" s="26"/>
    </row>
    <row r="138" spans="3:167" x14ac:dyDescent="0.2">
      <c r="C138" s="10">
        <f t="shared" si="33"/>
        <v>2.1865236633674701</v>
      </c>
      <c r="D138" s="10">
        <f t="shared" si="34"/>
        <v>588.01674399608089</v>
      </c>
      <c r="E138" s="10" cm="1">
        <f t="array" ref="E138">gavg(AF138,EL138)</f>
        <v>92.961241837053223</v>
      </c>
      <c r="F138" s="10" cm="1">
        <f t="array" ref="F138">lnstdev(AF138,EL138)</f>
        <v>1.4707541606980141</v>
      </c>
      <c r="G138" s="10">
        <f t="shared" si="35"/>
        <v>21</v>
      </c>
      <c r="H138" s="10">
        <f t="shared" si="36"/>
        <v>378.00160169669658</v>
      </c>
      <c r="I138" s="10">
        <f t="shared" si="37"/>
        <v>588.01674399608089</v>
      </c>
      <c r="J138" s="10"/>
      <c r="K138" s="10"/>
      <c r="L138" s="10">
        <f t="shared" si="38"/>
        <v>4</v>
      </c>
      <c r="M138" s="10">
        <f t="shared" si="39"/>
        <v>68.291096985672212</v>
      </c>
      <c r="N138" s="10">
        <f t="shared" si="40"/>
        <v>358.79783485069396</v>
      </c>
      <c r="O138" s="10">
        <f t="shared" si="41"/>
        <v>8</v>
      </c>
      <c r="P138" s="10">
        <f t="shared" si="42"/>
        <v>0</v>
      </c>
      <c r="Q138" s="10">
        <f t="shared" si="43"/>
        <v>0</v>
      </c>
      <c r="R138" s="10">
        <f t="shared" si="44"/>
        <v>0</v>
      </c>
      <c r="S138" s="10">
        <f t="shared" si="45"/>
        <v>93.168069141877396</v>
      </c>
      <c r="T138" s="10">
        <f t="shared" si="46"/>
        <v>127.06548249720319</v>
      </c>
      <c r="U138" s="10">
        <f t="shared" si="47"/>
        <v>4</v>
      </c>
      <c r="V138" s="10">
        <f t="shared" si="24"/>
        <v>2.1865236633674701</v>
      </c>
      <c r="W138" s="10">
        <f t="shared" si="25"/>
        <v>29.227267596631165</v>
      </c>
      <c r="X138" s="10">
        <f t="shared" si="26"/>
        <v>5</v>
      </c>
      <c r="Y138" s="10">
        <f t="shared" si="27"/>
        <v>8.4177671905268614</v>
      </c>
      <c r="Z138" s="10">
        <f t="shared" si="28"/>
        <v>8.4177671905268614</v>
      </c>
      <c r="AA138" s="10">
        <f t="shared" si="29"/>
        <v>1</v>
      </c>
      <c r="AB138" s="10">
        <f t="shared" si="30"/>
        <v>2.1865236633674701</v>
      </c>
      <c r="AC138" s="10">
        <f t="shared" si="31"/>
        <v>29.227267596631165</v>
      </c>
      <c r="AD138" s="10">
        <f t="shared" si="32"/>
        <v>4</v>
      </c>
      <c r="AE138" s="5" t="s">
        <v>444</v>
      </c>
      <c r="AF138" s="26"/>
      <c r="AG138" s="26"/>
      <c r="AH138" s="26"/>
      <c r="AI138" s="26"/>
      <c r="AJ138" s="26"/>
      <c r="AK138" s="26"/>
      <c r="AL138" s="26">
        <v>378.00160169669658</v>
      </c>
      <c r="AM138" s="26">
        <v>426.11089720213084</v>
      </c>
      <c r="AN138" s="26">
        <v>491.08856926488642</v>
      </c>
      <c r="AO138" s="26">
        <v>588.01674399608089</v>
      </c>
      <c r="AP138" s="26">
        <v>108.03036161629906</v>
      </c>
      <c r="AQ138" s="26">
        <v>118.23801962379731</v>
      </c>
      <c r="AR138" s="26">
        <v>207.85904197046432</v>
      </c>
      <c r="AS138" s="26">
        <v>283.92082025286311</v>
      </c>
      <c r="AT138" s="26">
        <v>358.79783485069396</v>
      </c>
      <c r="AU138" s="26"/>
      <c r="AV138" s="26"/>
      <c r="AW138" s="26"/>
      <c r="AX138" s="26"/>
      <c r="AY138" s="26"/>
      <c r="AZ138" s="26"/>
      <c r="BA138" s="26"/>
      <c r="BB138" s="26"/>
      <c r="BC138" s="26"/>
      <c r="BD138" s="26"/>
      <c r="BE138" s="26"/>
      <c r="BF138" s="26"/>
      <c r="BG138" s="26"/>
      <c r="BH138" s="26"/>
      <c r="BI138" s="26">
        <v>68.291096985672212</v>
      </c>
      <c r="BJ138" s="26">
        <v>138.90901630316932</v>
      </c>
      <c r="BK138" s="26">
        <v>120.63778924658007</v>
      </c>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v>93.168069141877396</v>
      </c>
      <c r="DN138" s="26">
        <v>122.30352160285746</v>
      </c>
      <c r="DO138" s="26">
        <v>95.259428148616792</v>
      </c>
      <c r="DP138" s="26"/>
      <c r="DQ138" s="26">
        <v>127.06548249720319</v>
      </c>
      <c r="DR138" s="26"/>
      <c r="DS138" s="26"/>
      <c r="DT138" s="26"/>
      <c r="DU138" s="26"/>
      <c r="DV138" s="26">
        <v>8.4177671905268614</v>
      </c>
      <c r="DW138" s="26"/>
      <c r="DX138" s="26"/>
      <c r="DY138" s="26">
        <v>2.1865236633674701</v>
      </c>
      <c r="DZ138" s="26">
        <v>9.7343081100373059</v>
      </c>
      <c r="EA138" s="26">
        <v>20.767852445897613</v>
      </c>
      <c r="EB138" s="26">
        <v>29.227267596631165</v>
      </c>
      <c r="EC138" s="26"/>
      <c r="ED138" s="26"/>
      <c r="EE138" s="26"/>
      <c r="EF138" s="26"/>
      <c r="EG138" s="26"/>
      <c r="EH138" s="26"/>
      <c r="EI138" s="26"/>
      <c r="EJ138" s="26"/>
      <c r="EK138" s="26"/>
      <c r="EL138" s="26"/>
      <c r="EM138" s="26">
        <v>4.0792244295199618</v>
      </c>
      <c r="EN138" s="26">
        <v>11.581219656158002</v>
      </c>
      <c r="EO138" s="26"/>
      <c r="EP138" s="26"/>
      <c r="EQ138" s="26"/>
      <c r="ER138" s="26">
        <v>3.1881581534637147</v>
      </c>
      <c r="ES138" s="26">
        <v>17.870437384313451</v>
      </c>
      <c r="ET138" s="26"/>
      <c r="EU138" s="26"/>
      <c r="EV138" s="26"/>
      <c r="EW138" s="26">
        <v>3.8665078569845828</v>
      </c>
      <c r="EX138" s="26">
        <v>10.572847866608351</v>
      </c>
      <c r="EY138" s="26"/>
      <c r="EZ138" s="26"/>
      <c r="FA138" s="26"/>
      <c r="FB138" s="26">
        <v>2.1949517107630361</v>
      </c>
      <c r="FC138" s="26">
        <v>10.260721333297976</v>
      </c>
      <c r="FD138" s="26"/>
      <c r="FE138" s="26"/>
      <c r="FF138" s="26"/>
      <c r="FG138" s="26">
        <v>2.1914658218750249</v>
      </c>
      <c r="FH138" s="26">
        <v>10.2654937332724</v>
      </c>
      <c r="FI138" s="26"/>
      <c r="FJ138" s="26"/>
      <c r="FK138" s="26"/>
    </row>
    <row r="139" spans="3:167" x14ac:dyDescent="0.2">
      <c r="C139" s="10">
        <f t="shared" si="33"/>
        <v>1.3597052884303702</v>
      </c>
      <c r="D139" s="10">
        <f t="shared" si="34"/>
        <v>28.874307819086859</v>
      </c>
      <c r="E139" s="10" cm="1">
        <f t="array" ref="E139">gavg(AF139,EL139)</f>
        <v>5.2452530623291578</v>
      </c>
      <c r="F139" s="10" cm="1">
        <f t="array" ref="F139">lnstdev(AF139,EL139)</f>
        <v>1.0785214369592069</v>
      </c>
      <c r="G139" s="10">
        <f t="shared" si="35"/>
        <v>21</v>
      </c>
      <c r="H139" s="10">
        <f t="shared" si="36"/>
        <v>1.3597052884303702</v>
      </c>
      <c r="I139" s="10">
        <f t="shared" si="37"/>
        <v>2.4765221600227432</v>
      </c>
      <c r="J139" s="10"/>
      <c r="K139" s="10"/>
      <c r="L139" s="10">
        <f t="shared" si="38"/>
        <v>4</v>
      </c>
      <c r="M139" s="10">
        <f t="shared" si="39"/>
        <v>1.4676755135616921</v>
      </c>
      <c r="N139" s="10">
        <f t="shared" si="40"/>
        <v>7.7987611477678831</v>
      </c>
      <c r="O139" s="10">
        <f t="shared" si="41"/>
        <v>8</v>
      </c>
      <c r="P139" s="10">
        <f t="shared" si="42"/>
        <v>0</v>
      </c>
      <c r="Q139" s="10">
        <f t="shared" si="43"/>
        <v>0</v>
      </c>
      <c r="R139" s="10">
        <f t="shared" si="44"/>
        <v>0</v>
      </c>
      <c r="S139" s="10">
        <f t="shared" si="45"/>
        <v>21.076975918694025</v>
      </c>
      <c r="T139" s="10">
        <f t="shared" si="46"/>
        <v>28.874307819086859</v>
      </c>
      <c r="U139" s="10">
        <f t="shared" si="47"/>
        <v>4</v>
      </c>
      <c r="V139" s="10">
        <f t="shared" ref="V139:V164" si="123">MIN($DU139:$EL139)</f>
        <v>1.4857257045910759</v>
      </c>
      <c r="W139" s="10">
        <f t="shared" ref="W139:W164" si="124">MAX($DU139:$EL139)</f>
        <v>23.390917204782955</v>
      </c>
      <c r="X139" s="10">
        <f t="shared" ref="X139:X164" si="125">COUNT($DU139:$EL139)</f>
        <v>5</v>
      </c>
      <c r="Y139" s="10">
        <f t="shared" ref="Y139:Y164" si="126">MIN($DU139:$DX139)</f>
        <v>6.1475323362868775</v>
      </c>
      <c r="Z139" s="10">
        <f t="shared" ref="Z139:Z164" si="127">MAX($DU139:$DX139)</f>
        <v>6.1475323362868775</v>
      </c>
      <c r="AA139" s="10">
        <f t="shared" ref="AA139:AA164" si="128">COUNT($DU139:$DX139)</f>
        <v>1</v>
      </c>
      <c r="AB139" s="10">
        <f t="shared" ref="AB139:AB164" si="129">MIN($DY139:$EL139)</f>
        <v>1.4857257045910759</v>
      </c>
      <c r="AC139" s="10">
        <f t="shared" ref="AC139:AC164" si="130">MAX($DY139:$EL139)</f>
        <v>23.390917204782955</v>
      </c>
      <c r="AD139" s="10">
        <f t="shared" ref="AD139:AD164" si="131">COUNT($DY139:$EL139)</f>
        <v>4</v>
      </c>
      <c r="AE139" s="5" t="s">
        <v>445</v>
      </c>
      <c r="AF139" s="26"/>
      <c r="AG139" s="26"/>
      <c r="AH139" s="26"/>
      <c r="AI139" s="26"/>
      <c r="AJ139" s="26"/>
      <c r="AK139" s="26"/>
      <c r="AL139" s="26">
        <v>1.3597052884303702</v>
      </c>
      <c r="AM139" s="26">
        <v>1.6262696486009653</v>
      </c>
      <c r="AN139" s="26">
        <v>1.9586355032364826</v>
      </c>
      <c r="AO139" s="26">
        <v>2.4765221600227432</v>
      </c>
      <c r="AP139" s="26">
        <v>2.3530995720505716</v>
      </c>
      <c r="AQ139" s="26">
        <v>2.5657117350376972</v>
      </c>
      <c r="AR139" s="26">
        <v>4.5032365976851851</v>
      </c>
      <c r="AS139" s="26">
        <v>6.1273415772093802</v>
      </c>
      <c r="AT139" s="26">
        <v>7.7987611477678831</v>
      </c>
      <c r="AU139" s="26"/>
      <c r="AV139" s="26"/>
      <c r="AW139" s="26"/>
      <c r="AX139" s="26"/>
      <c r="AY139" s="26"/>
      <c r="AZ139" s="26"/>
      <c r="BA139" s="26"/>
      <c r="BB139" s="26"/>
      <c r="BC139" s="26"/>
      <c r="BD139" s="26"/>
      <c r="BE139" s="26"/>
      <c r="BF139" s="26"/>
      <c r="BG139" s="26"/>
      <c r="BH139" s="26"/>
      <c r="BI139" s="26">
        <v>1.4676755135616921</v>
      </c>
      <c r="BJ139" s="26">
        <v>2.9583077465112879</v>
      </c>
      <c r="BK139" s="26">
        <v>2.569998158258759</v>
      </c>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v>21.076975918694025</v>
      </c>
      <c r="DN139" s="26">
        <v>27.921429042203744</v>
      </c>
      <c r="DO139" s="26">
        <v>21.544998223662059</v>
      </c>
      <c r="DP139" s="26"/>
      <c r="DQ139" s="26">
        <v>28.874307819086859</v>
      </c>
      <c r="DR139" s="26"/>
      <c r="DS139" s="26"/>
      <c r="DT139" s="26"/>
      <c r="DU139" s="26"/>
      <c r="DV139" s="26">
        <v>6.1475323362868775</v>
      </c>
      <c r="DW139" s="26"/>
      <c r="DX139" s="26"/>
      <c r="DY139" s="26">
        <v>1.4857257045910759</v>
      </c>
      <c r="DZ139" s="26">
        <v>6.9954483851738445</v>
      </c>
      <c r="EA139" s="26">
        <v>15.320716467568497</v>
      </c>
      <c r="EB139" s="26">
        <v>23.390917204782955</v>
      </c>
      <c r="EC139" s="26"/>
      <c r="ED139" s="26"/>
      <c r="EE139" s="26"/>
      <c r="EF139" s="26"/>
      <c r="EG139" s="26"/>
      <c r="EH139" s="26"/>
      <c r="EI139" s="26"/>
      <c r="EJ139" s="26"/>
      <c r="EK139" s="26"/>
      <c r="EL139" s="26"/>
      <c r="EM139" s="26">
        <v>2.5911740828723939</v>
      </c>
      <c r="EN139" s="26">
        <v>7.653144298210484</v>
      </c>
      <c r="EO139" s="26"/>
      <c r="EP139" s="26"/>
      <c r="EQ139" s="26"/>
      <c r="ER139" s="26">
        <v>2.133571914349079</v>
      </c>
      <c r="ES139" s="26">
        <v>12.264857367828265</v>
      </c>
      <c r="ET139" s="26"/>
      <c r="EU139" s="26"/>
      <c r="EV139" s="26"/>
      <c r="EW139" s="26">
        <v>2.6108986321470504</v>
      </c>
      <c r="EX139" s="26">
        <v>7.3301735830235399</v>
      </c>
      <c r="EY139" s="26"/>
      <c r="EZ139" s="26"/>
      <c r="FA139" s="26"/>
      <c r="FB139" s="26">
        <v>1.487358341224837</v>
      </c>
      <c r="FC139" s="26">
        <v>7.3221755305973062</v>
      </c>
      <c r="FD139" s="26"/>
      <c r="FE139" s="26"/>
      <c r="FF139" s="26"/>
      <c r="FG139" s="26">
        <v>1.482234148123923</v>
      </c>
      <c r="FH139" s="26">
        <v>7.4874424583047476</v>
      </c>
      <c r="FI139" s="26"/>
      <c r="FJ139" s="26"/>
      <c r="FK139" s="26"/>
    </row>
    <row r="140" spans="3:167" x14ac:dyDescent="0.2">
      <c r="C140" s="10">
        <f t="shared" ref="C140:C161" si="132">MIN(AF140:EL140)</f>
        <v>-9.6159826767916456E-9</v>
      </c>
      <c r="D140" s="10">
        <f t="shared" ref="D140:D161" si="133">MAX(AF140:EL140)</f>
        <v>9.0665253082988784E-11</v>
      </c>
      <c r="E140" s="10" cm="1">
        <f t="array" ref="E140">gavg(AF140,EL140)</f>
        <v>4.262114521411277E-12</v>
      </c>
      <c r="F140" s="10" cm="1">
        <f t="array" ref="F140">lnstdev(AF140,EL140)</f>
        <v>1.6667479018081295</v>
      </c>
      <c r="G140" s="10">
        <f t="shared" ref="G140:G161" si="134">COUNT(AF140:EL140)</f>
        <v>21</v>
      </c>
      <c r="H140" s="10">
        <f t="shared" ref="H140:H161" si="135">MIN(AF140:AO140)</f>
        <v>-1.930441584363507E-9</v>
      </c>
      <c r="I140" s="10">
        <f t="shared" ref="I140:I161" si="136">MAX(AF140:AO140)</f>
        <v>-4.2632564145606011E-14</v>
      </c>
      <c r="J140" s="10"/>
      <c r="K140" s="10"/>
      <c r="L140" s="10">
        <f t="shared" ref="L140:L161" si="137">COUNT(AF140:AO140)</f>
        <v>4</v>
      </c>
      <c r="M140" s="10">
        <f t="shared" ref="M140:M161" si="138">MIN(AP140:BL140)</f>
        <v>-9.6159826767916456E-9</v>
      </c>
      <c r="N140" s="10">
        <f t="shared" ref="N140:N161" si="139">MAX(AP140:BL140)</f>
        <v>1.0729195309977513E-12</v>
      </c>
      <c r="O140" s="10">
        <f t="shared" ref="O140:O161" si="140">COUNT(AP140:BL140)</f>
        <v>8</v>
      </c>
      <c r="P140" s="10">
        <f t="shared" ref="P140:P161" si="141">MIN(BM140:CO140)</f>
        <v>0</v>
      </c>
      <c r="Q140" s="10">
        <f t="shared" ref="Q140:Q161" si="142">MAX(BM140:CO140)</f>
        <v>0</v>
      </c>
      <c r="R140" s="10">
        <f t="shared" ref="R140:R161" si="143">COUNT(BM140:CO140)</f>
        <v>0</v>
      </c>
      <c r="S140" s="10">
        <f t="shared" ref="S140:S161" si="144">MIN(CP140:DT140)</f>
        <v>-2.2737367544323206E-13</v>
      </c>
      <c r="T140" s="10">
        <f t="shared" ref="T140:T161" si="145">MAX(CP140:DT140)</f>
        <v>8.9244167611468583E-12</v>
      </c>
      <c r="U140" s="10">
        <f t="shared" ref="U140:U161" si="146">COUNT(CP140:DT140)</f>
        <v>4</v>
      </c>
      <c r="V140" s="10">
        <f t="shared" si="123"/>
        <v>-5.2313708920337376E-12</v>
      </c>
      <c r="W140" s="10">
        <f t="shared" si="124"/>
        <v>9.0665253082988784E-11</v>
      </c>
      <c r="X140" s="10">
        <f t="shared" si="125"/>
        <v>5</v>
      </c>
      <c r="Y140" s="10">
        <f t="shared" si="126"/>
        <v>8.3417717178235762E-12</v>
      </c>
      <c r="Z140" s="10">
        <f t="shared" si="127"/>
        <v>8.3417717178235762E-12</v>
      </c>
      <c r="AA140" s="10">
        <f t="shared" si="128"/>
        <v>1</v>
      </c>
      <c r="AB140" s="10">
        <f t="shared" si="129"/>
        <v>-5.2313708920337376E-12</v>
      </c>
      <c r="AC140" s="10">
        <f t="shared" si="130"/>
        <v>9.0665253082988784E-11</v>
      </c>
      <c r="AD140" s="10">
        <f t="shared" si="131"/>
        <v>4</v>
      </c>
      <c r="AE140" s="5" t="s">
        <v>446</v>
      </c>
      <c r="AF140" s="26"/>
      <c r="AG140" s="26"/>
      <c r="AH140" s="26"/>
      <c r="AI140" s="26"/>
      <c r="AJ140" s="26"/>
      <c r="AK140" s="26"/>
      <c r="AL140" s="26">
        <v>-7.1526073952554725E-10</v>
      </c>
      <c r="AM140" s="26">
        <v>-2.446771674158299E-10</v>
      </c>
      <c r="AN140" s="26">
        <v>-4.2632564145606011E-14</v>
      </c>
      <c r="AO140" s="26">
        <v>-1.930441584363507E-9</v>
      </c>
      <c r="AP140" s="26">
        <v>-9.9167030143121337E-10</v>
      </c>
      <c r="AQ140" s="26">
        <v>-9.6159826767916456E-9</v>
      </c>
      <c r="AR140" s="26">
        <v>-4.8497028615201998E-10</v>
      </c>
      <c r="AS140" s="26">
        <v>1.0729195309977513E-12</v>
      </c>
      <c r="AT140" s="26">
        <v>-4.6014747567824088E-11</v>
      </c>
      <c r="AU140" s="26"/>
      <c r="AV140" s="26"/>
      <c r="AW140" s="26"/>
      <c r="AX140" s="26"/>
      <c r="AY140" s="26"/>
      <c r="AZ140" s="26"/>
      <c r="BA140" s="26"/>
      <c r="BB140" s="26"/>
      <c r="BC140" s="26"/>
      <c r="BD140" s="26"/>
      <c r="BE140" s="26"/>
      <c r="BF140" s="26"/>
      <c r="BG140" s="26"/>
      <c r="BH140" s="26"/>
      <c r="BI140" s="26">
        <v>-3.751665644813329E-12</v>
      </c>
      <c r="BJ140" s="26">
        <v>2.2559731860383181E-13</v>
      </c>
      <c r="BK140" s="26">
        <v>-1.7284840225784137E-10</v>
      </c>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v>-2.2737367544323206E-13</v>
      </c>
      <c r="DN140" s="26">
        <v>8.9244167611468583E-12</v>
      </c>
      <c r="DO140" s="26">
        <v>4.3769432522822171E-12</v>
      </c>
      <c r="DP140" s="26"/>
      <c r="DQ140" s="26">
        <v>2.3305801732931286E-12</v>
      </c>
      <c r="DR140" s="26"/>
      <c r="DS140" s="26"/>
      <c r="DT140" s="26"/>
      <c r="DU140" s="26"/>
      <c r="DV140" s="26">
        <v>8.3417717178235762E-12</v>
      </c>
      <c r="DW140" s="26"/>
      <c r="DX140" s="26"/>
      <c r="DY140" s="26">
        <v>-5.2313708920337376E-12</v>
      </c>
      <c r="DZ140" s="26">
        <v>2.7142732506035827E-12</v>
      </c>
      <c r="EA140" s="26">
        <v>1.0260237104375847E-11</v>
      </c>
      <c r="EB140" s="26">
        <v>9.0665253082988784E-11</v>
      </c>
      <c r="EC140" s="26"/>
      <c r="ED140" s="26"/>
      <c r="EE140" s="26"/>
      <c r="EF140" s="26"/>
      <c r="EG140" s="26"/>
      <c r="EH140" s="26"/>
      <c r="EI140" s="26"/>
      <c r="EJ140" s="26"/>
      <c r="EK140" s="26"/>
      <c r="EL140" s="26"/>
      <c r="EM140" s="26">
        <v>-7.8435640205043455E-9</v>
      </c>
      <c r="EN140" s="26">
        <v>2.9842794901924208E-13</v>
      </c>
      <c r="EO140" s="26"/>
      <c r="EP140" s="26"/>
      <c r="EQ140" s="26"/>
      <c r="ER140" s="26">
        <v>3.5162983635927958E-12</v>
      </c>
      <c r="ES140" s="26">
        <v>1.2903456081403419E-11</v>
      </c>
      <c r="ET140" s="26"/>
      <c r="EU140" s="26"/>
      <c r="EV140" s="26"/>
      <c r="EW140" s="26">
        <v>4.645173135031655E-12</v>
      </c>
      <c r="EX140" s="26">
        <v>-2.4776625195954693E-11</v>
      </c>
      <c r="EY140" s="26"/>
      <c r="EZ140" s="26"/>
      <c r="FA140" s="26"/>
      <c r="FB140" s="26">
        <v>-4.2583714332522504E-12</v>
      </c>
      <c r="FC140" s="26">
        <v>1.0672351891116705E-11</v>
      </c>
      <c r="FD140" s="26"/>
      <c r="FE140" s="26"/>
      <c r="FF140" s="26"/>
      <c r="FG140" s="26">
        <v>-4.6607162573764072E-12</v>
      </c>
      <c r="FH140" s="26">
        <v>8.0788709055923391E-12</v>
      </c>
      <c r="FI140" s="26"/>
      <c r="FJ140" s="26"/>
      <c r="FK140" s="26"/>
    </row>
    <row r="141" spans="3:167" x14ac:dyDescent="0.2">
      <c r="C141" s="10">
        <f t="shared" si="132"/>
        <v>1.9348788362379811E-5</v>
      </c>
      <c r="D141" s="10">
        <f t="shared" si="133"/>
        <v>2.5016944020265667E-4</v>
      </c>
      <c r="E141" s="10" cm="1">
        <f t="array" ref="E141">gavg(AF141,EL141)</f>
        <v>8.5615114107081192E-5</v>
      </c>
      <c r="F141" s="10" cm="1">
        <f t="array" ref="F141">lnstdev(AF141,EL141)</f>
        <v>0.70036988213037343</v>
      </c>
      <c r="G141" s="10">
        <f t="shared" si="134"/>
        <v>21</v>
      </c>
      <c r="H141" s="10">
        <f t="shared" si="135"/>
        <v>6.4531191658037134E-5</v>
      </c>
      <c r="I141" s="10">
        <f t="shared" si="136"/>
        <v>9.5125546032786811E-5</v>
      </c>
      <c r="J141" s="10"/>
      <c r="K141" s="10"/>
      <c r="L141" s="10">
        <f t="shared" si="137"/>
        <v>4</v>
      </c>
      <c r="M141" s="10">
        <f t="shared" si="138"/>
        <v>1.9348788362379811E-5</v>
      </c>
      <c r="N141" s="10">
        <f t="shared" si="139"/>
        <v>1.7582607272216457E-4</v>
      </c>
      <c r="O141" s="10">
        <f t="shared" si="140"/>
        <v>8</v>
      </c>
      <c r="P141" s="10">
        <f t="shared" si="141"/>
        <v>0</v>
      </c>
      <c r="Q141" s="10">
        <f t="shared" si="142"/>
        <v>0</v>
      </c>
      <c r="R141" s="10">
        <f t="shared" si="143"/>
        <v>0</v>
      </c>
      <c r="S141" s="10">
        <f t="shared" si="144"/>
        <v>8.5602981664490471E-5</v>
      </c>
      <c r="T141" s="10">
        <f t="shared" si="145"/>
        <v>1.87177606164711E-4</v>
      </c>
      <c r="U141" s="10">
        <f t="shared" si="146"/>
        <v>4</v>
      </c>
      <c r="V141" s="10">
        <f t="shared" si="123"/>
        <v>3.8031470855496122E-5</v>
      </c>
      <c r="W141" s="10">
        <f t="shared" si="124"/>
        <v>2.5016944020265667E-4</v>
      </c>
      <c r="X141" s="10">
        <f t="shared" si="125"/>
        <v>5</v>
      </c>
      <c r="Y141" s="10">
        <f t="shared" si="126"/>
        <v>1.4065187554305621E-4</v>
      </c>
      <c r="Z141" s="10">
        <f t="shared" si="127"/>
        <v>1.4065187554305621E-4</v>
      </c>
      <c r="AA141" s="10">
        <f t="shared" si="128"/>
        <v>1</v>
      </c>
      <c r="AB141" s="10">
        <f t="shared" si="129"/>
        <v>3.8031470855496122E-5</v>
      </c>
      <c r="AC141" s="10">
        <f t="shared" si="130"/>
        <v>2.5016944020265667E-4</v>
      </c>
      <c r="AD141" s="10">
        <f t="shared" si="131"/>
        <v>4</v>
      </c>
      <c r="AE141" s="5" t="s">
        <v>490</v>
      </c>
      <c r="AF141" s="26"/>
      <c r="AG141" s="26"/>
      <c r="AH141" s="26"/>
      <c r="AI141" s="26"/>
      <c r="AJ141" s="26"/>
      <c r="AK141" s="26"/>
      <c r="AL141" s="26">
        <v>6.4531191658037134E-5</v>
      </c>
      <c r="AM141" s="26">
        <v>7.4793747342178052E-5</v>
      </c>
      <c r="AN141" s="26">
        <v>8.4293747412199122E-5</v>
      </c>
      <c r="AO141" s="26">
        <v>9.5125546032786811E-5</v>
      </c>
      <c r="AP141" s="26">
        <v>1.9348788362379811E-5</v>
      </c>
      <c r="AQ141" s="26">
        <v>3.7937969968323075E-5</v>
      </c>
      <c r="AR141" s="26">
        <v>7.7555454229544181E-5</v>
      </c>
      <c r="AS141" s="26">
        <v>1.241423080085506E-4</v>
      </c>
      <c r="AT141" s="26">
        <v>1.7582607272216457E-4</v>
      </c>
      <c r="AU141" s="26"/>
      <c r="AV141" s="26"/>
      <c r="AW141" s="26"/>
      <c r="AX141" s="26"/>
      <c r="AY141" s="26"/>
      <c r="AZ141" s="26"/>
      <c r="BA141" s="26"/>
      <c r="BB141" s="26"/>
      <c r="BC141" s="26"/>
      <c r="BD141" s="26"/>
      <c r="BE141" s="26"/>
      <c r="BF141" s="26"/>
      <c r="BG141" s="26"/>
      <c r="BH141" s="26"/>
      <c r="BI141" s="26">
        <v>2.8828547480685606E-5</v>
      </c>
      <c r="BJ141" s="26">
        <v>5.7475647708679254E-5</v>
      </c>
      <c r="BK141" s="26">
        <v>3.9036345695619683E-5</v>
      </c>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v>8.5602981664490471E-5</v>
      </c>
      <c r="DN141" s="26">
        <v>1.87177606164711E-4</v>
      </c>
      <c r="DO141" s="26">
        <v>1.2250016046095008E-4</v>
      </c>
      <c r="DP141" s="26"/>
      <c r="DQ141" s="26">
        <v>1.6447902895366993E-4</v>
      </c>
      <c r="DR141" s="26"/>
      <c r="DS141" s="26"/>
      <c r="DT141" s="26"/>
      <c r="DU141" s="26"/>
      <c r="DV141" s="26">
        <v>1.4065187554305621E-4</v>
      </c>
      <c r="DW141" s="26"/>
      <c r="DX141" s="26"/>
      <c r="DY141" s="26">
        <v>3.8031470855496122E-5</v>
      </c>
      <c r="DZ141" s="26">
        <v>1.4283582818679265E-4</v>
      </c>
      <c r="EA141" s="26">
        <v>1.9969289307854375E-4</v>
      </c>
      <c r="EB141" s="26">
        <v>2.5016944020265667E-4</v>
      </c>
      <c r="EC141" s="26"/>
      <c r="ED141" s="26"/>
      <c r="EE141" s="26"/>
      <c r="EF141" s="26"/>
      <c r="EG141" s="26"/>
      <c r="EH141" s="26"/>
      <c r="EI141" s="26"/>
      <c r="EJ141" s="26"/>
      <c r="EK141" s="26"/>
      <c r="EL141" s="26"/>
      <c r="EM141" s="26">
        <v>4.0672244792702398E-5</v>
      </c>
      <c r="EN141" s="26">
        <v>1.5507917611299913E-4</v>
      </c>
      <c r="EO141" s="26"/>
      <c r="EP141" s="26"/>
      <c r="EQ141" s="26"/>
      <c r="ER141" s="26">
        <v>3.8613101804865534E-5</v>
      </c>
      <c r="ES141" s="26">
        <v>1.4946418596643944E-4</v>
      </c>
      <c r="ET141" s="26"/>
      <c r="EU141" s="26"/>
      <c r="EV141" s="26"/>
      <c r="EW141" s="26">
        <v>3.8276653920714802E-5</v>
      </c>
      <c r="EX141" s="26">
        <v>1.4799016656881589E-4</v>
      </c>
      <c r="EY141" s="26"/>
      <c r="EZ141" s="26"/>
      <c r="FA141" s="26"/>
      <c r="FB141" s="26">
        <v>3.8124891348731921E-5</v>
      </c>
      <c r="FC141" s="26">
        <v>1.4386947869301893E-4</v>
      </c>
      <c r="FD141" s="26"/>
      <c r="FE141" s="26"/>
      <c r="FF141" s="26"/>
      <c r="FG141" s="26">
        <v>3.8203102401467927E-5</v>
      </c>
      <c r="FH141" s="26">
        <v>1.408252815293657E-4</v>
      </c>
      <c r="FI141" s="26"/>
      <c r="FJ141" s="26"/>
      <c r="FK141" s="26"/>
    </row>
    <row r="142" spans="3:167" x14ac:dyDescent="0.2">
      <c r="C142" s="10">
        <f t="shared" si="132"/>
        <v>9.7773581940148563E-5</v>
      </c>
      <c r="D142" s="10">
        <f t="shared" si="133"/>
        <v>3.1504933223631807E-3</v>
      </c>
      <c r="E142" s="10" cm="1">
        <f t="array" ref="E142">gavg(AF142,EL142)</f>
        <v>5.6942607775699425E-4</v>
      </c>
      <c r="F142" s="10" cm="1">
        <f t="array" ref="F142">lnstdev(AF142,EL142)</f>
        <v>0.99075287524637079</v>
      </c>
      <c r="G142" s="10">
        <f t="shared" si="134"/>
        <v>21</v>
      </c>
      <c r="H142" s="10">
        <f t="shared" si="135"/>
        <v>3.8986394356866337E-4</v>
      </c>
      <c r="I142" s="10">
        <f t="shared" si="136"/>
        <v>4.5842852824759669E-4</v>
      </c>
      <c r="J142" s="10"/>
      <c r="K142" s="10"/>
      <c r="L142" s="10">
        <f t="shared" si="137"/>
        <v>4</v>
      </c>
      <c r="M142" s="10">
        <f t="shared" si="138"/>
        <v>9.7773581940148563E-5</v>
      </c>
      <c r="N142" s="10">
        <f t="shared" si="139"/>
        <v>9.4882742231456501E-4</v>
      </c>
      <c r="O142" s="10">
        <f t="shared" si="140"/>
        <v>8</v>
      </c>
      <c r="P142" s="10">
        <f t="shared" si="141"/>
        <v>0</v>
      </c>
      <c r="Q142" s="10">
        <f t="shared" si="142"/>
        <v>0</v>
      </c>
      <c r="R142" s="10">
        <f t="shared" si="143"/>
        <v>0</v>
      </c>
      <c r="S142" s="10">
        <f t="shared" si="144"/>
        <v>8.2250108704701316E-4</v>
      </c>
      <c r="T142" s="10">
        <f t="shared" si="145"/>
        <v>1.5363723526560021E-3</v>
      </c>
      <c r="U142" s="10">
        <f t="shared" si="146"/>
        <v>4</v>
      </c>
      <c r="V142" s="10">
        <f t="shared" si="123"/>
        <v>4.5036616480449525E-4</v>
      </c>
      <c r="W142" s="10">
        <f t="shared" si="124"/>
        <v>3.1504933223631807E-3</v>
      </c>
      <c r="X142" s="10">
        <f t="shared" si="125"/>
        <v>5</v>
      </c>
      <c r="Y142" s="10">
        <f t="shared" si="126"/>
        <v>1.6354156651920632E-3</v>
      </c>
      <c r="Z142" s="10">
        <f t="shared" si="127"/>
        <v>1.6354156651920632E-3</v>
      </c>
      <c r="AA142" s="10">
        <f t="shared" si="128"/>
        <v>1</v>
      </c>
      <c r="AB142" s="10">
        <f t="shared" si="129"/>
        <v>4.5036616480449525E-4</v>
      </c>
      <c r="AC142" s="10">
        <f t="shared" si="130"/>
        <v>3.1504933223631807E-3</v>
      </c>
      <c r="AD142" s="10">
        <f t="shared" si="131"/>
        <v>4</v>
      </c>
      <c r="AE142" s="5" t="s">
        <v>449</v>
      </c>
      <c r="AF142" s="26"/>
      <c r="AG142" s="26"/>
      <c r="AH142" s="26"/>
      <c r="AI142" s="26"/>
      <c r="AJ142" s="26"/>
      <c r="AK142" s="26"/>
      <c r="AL142" s="26">
        <v>3.8986394356866337E-4</v>
      </c>
      <c r="AM142" s="26">
        <v>4.5842852824759669E-4</v>
      </c>
      <c r="AN142" s="26">
        <v>4.454836732327503E-4</v>
      </c>
      <c r="AO142" s="26">
        <v>4.0884155004517955E-4</v>
      </c>
      <c r="AP142" s="26">
        <v>9.7773581940148563E-5</v>
      </c>
      <c r="AQ142" s="26">
        <v>1.3708193240182212E-4</v>
      </c>
      <c r="AR142" s="26">
        <v>3.4461721783023098E-4</v>
      </c>
      <c r="AS142" s="26">
        <v>6.102138820964436E-4</v>
      </c>
      <c r="AT142" s="26">
        <v>9.4882742231456501E-4</v>
      </c>
      <c r="AU142" s="26"/>
      <c r="AV142" s="26"/>
      <c r="AW142" s="26"/>
      <c r="AX142" s="26"/>
      <c r="AY142" s="26"/>
      <c r="AZ142" s="26"/>
      <c r="BA142" s="26"/>
      <c r="BB142" s="26"/>
      <c r="BC142" s="26"/>
      <c r="BD142" s="26"/>
      <c r="BE142" s="26"/>
      <c r="BF142" s="26"/>
      <c r="BG142" s="26"/>
      <c r="BH142" s="26"/>
      <c r="BI142" s="26">
        <v>1.2946481655581884E-4</v>
      </c>
      <c r="BJ142" s="26">
        <v>2.8139800066844222E-4</v>
      </c>
      <c r="BK142" s="26">
        <v>1.520047817241297E-4</v>
      </c>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v>8.2250108704701316E-4</v>
      </c>
      <c r="DN142" s="26">
        <v>1.5363723526560021E-3</v>
      </c>
      <c r="DO142" s="26">
        <v>1.3223929854472986E-3</v>
      </c>
      <c r="DP142" s="26"/>
      <c r="DQ142" s="26">
        <v>1.2615391128676858E-3</v>
      </c>
      <c r="DR142" s="26"/>
      <c r="DS142" s="26"/>
      <c r="DT142" s="26"/>
      <c r="DU142" s="26"/>
      <c r="DV142" s="26">
        <v>1.6354156651920632E-3</v>
      </c>
      <c r="DW142" s="26"/>
      <c r="DX142" s="26"/>
      <c r="DY142" s="26">
        <v>4.5036616480449525E-4</v>
      </c>
      <c r="DZ142" s="26">
        <v>1.4444582251806519E-3</v>
      </c>
      <c r="EA142" s="26">
        <v>2.1473515588603005E-3</v>
      </c>
      <c r="EB142" s="26">
        <v>3.1504933223631807E-3</v>
      </c>
      <c r="EC142" s="26"/>
      <c r="ED142" s="26"/>
      <c r="EE142" s="26"/>
      <c r="EF142" s="26"/>
      <c r="EG142" s="26"/>
      <c r="EH142" s="26"/>
      <c r="EI142" s="26"/>
      <c r="EJ142" s="26"/>
      <c r="EK142" s="26"/>
      <c r="EL142" s="26"/>
      <c r="EM142" s="26">
        <v>5.8366742464092021E-5</v>
      </c>
      <c r="EN142" s="26">
        <v>4.9209733246354031E-5</v>
      </c>
      <c r="EO142" s="26"/>
      <c r="EP142" s="26"/>
      <c r="EQ142" s="26"/>
      <c r="ER142" s="26">
        <v>5.4754607705466018E-5</v>
      </c>
      <c r="ES142" s="26">
        <v>1.3406709152315372E-4</v>
      </c>
      <c r="ET142" s="26"/>
      <c r="EU142" s="26"/>
      <c r="EV142" s="26"/>
      <c r="EW142" s="26">
        <v>6.9386625432488205E-5</v>
      </c>
      <c r="EX142" s="26">
        <v>1.9760075484791682E-4</v>
      </c>
      <c r="EY142" s="26"/>
      <c r="EZ142" s="26"/>
      <c r="FA142" s="26"/>
      <c r="FB142" s="26">
        <v>7.9546366009597671E-5</v>
      </c>
      <c r="FC142" s="26">
        <v>5.0938008933463423E-4</v>
      </c>
      <c r="FD142" s="26"/>
      <c r="FE142" s="26"/>
      <c r="FF142" s="26"/>
      <c r="FG142" s="26">
        <v>1.7114041200376085E-4</v>
      </c>
      <c r="FH142" s="26">
        <v>9.5246491736142281E-4</v>
      </c>
      <c r="FI142" s="26"/>
      <c r="FJ142" s="26"/>
      <c r="FK142" s="26"/>
    </row>
    <row r="143" spans="3:167" x14ac:dyDescent="0.2">
      <c r="C143" s="10">
        <f t="shared" si="132"/>
        <v>1.0594580880566367E-4</v>
      </c>
      <c r="D143" s="10">
        <f t="shared" si="133"/>
        <v>2.9541622986436595E-3</v>
      </c>
      <c r="E143" s="10" cm="1">
        <f t="array" ref="E143">gavg(AF143,EL143)</f>
        <v>4.7909299186657875E-4</v>
      </c>
      <c r="F143" s="10" cm="1">
        <f t="array" ref="F143">lnstdev(AF143,EL143)</f>
        <v>0.91217833875109278</v>
      </c>
      <c r="G143" s="10">
        <f t="shared" si="134"/>
        <v>21</v>
      </c>
      <c r="H143" s="10">
        <f t="shared" si="135"/>
        <v>2.8991628413080849E-4</v>
      </c>
      <c r="I143" s="10">
        <f t="shared" si="136"/>
        <v>3.4367944046855226E-4</v>
      </c>
      <c r="J143" s="10"/>
      <c r="K143" s="10"/>
      <c r="L143" s="10">
        <f t="shared" si="137"/>
        <v>4</v>
      </c>
      <c r="M143" s="10">
        <f t="shared" si="138"/>
        <v>1.0594580880566367E-4</v>
      </c>
      <c r="N143" s="10">
        <f t="shared" si="139"/>
        <v>5.280586412443356E-4</v>
      </c>
      <c r="O143" s="10">
        <f t="shared" si="140"/>
        <v>8</v>
      </c>
      <c r="P143" s="10">
        <f t="shared" si="141"/>
        <v>0</v>
      </c>
      <c r="Q143" s="10">
        <f t="shared" si="142"/>
        <v>0</v>
      </c>
      <c r="R143" s="10">
        <f t="shared" si="143"/>
        <v>0</v>
      </c>
      <c r="S143" s="10">
        <f t="shared" si="144"/>
        <v>8.3051929827955518E-4</v>
      </c>
      <c r="T143" s="10">
        <f t="shared" si="145"/>
        <v>1.4235538232073436E-3</v>
      </c>
      <c r="U143" s="10">
        <f t="shared" si="146"/>
        <v>4</v>
      </c>
      <c r="V143" s="10">
        <f t="shared" si="123"/>
        <v>3.0705445536946519E-4</v>
      </c>
      <c r="W143" s="10">
        <f t="shared" si="124"/>
        <v>2.9541622986436595E-3</v>
      </c>
      <c r="X143" s="10">
        <f t="shared" si="125"/>
        <v>5</v>
      </c>
      <c r="Y143" s="10">
        <f t="shared" si="126"/>
        <v>1.2073255010602449E-3</v>
      </c>
      <c r="Z143" s="10">
        <f t="shared" si="127"/>
        <v>1.2073255010602449E-3</v>
      </c>
      <c r="AA143" s="10">
        <f t="shared" si="128"/>
        <v>1</v>
      </c>
      <c r="AB143" s="10">
        <f t="shared" si="129"/>
        <v>3.0705445536946519E-4</v>
      </c>
      <c r="AC143" s="10">
        <f t="shared" si="130"/>
        <v>2.9541622986436595E-3</v>
      </c>
      <c r="AD143" s="10">
        <f t="shared" si="131"/>
        <v>4</v>
      </c>
      <c r="AE143" s="5" t="s">
        <v>450</v>
      </c>
      <c r="AF143" s="26"/>
      <c r="AG143" s="26"/>
      <c r="AH143" s="26"/>
      <c r="AI143" s="26"/>
      <c r="AJ143" s="26"/>
      <c r="AK143" s="26"/>
      <c r="AL143" s="26">
        <v>3.0024813591345099E-4</v>
      </c>
      <c r="AM143" s="26">
        <v>3.2015668974762429E-4</v>
      </c>
      <c r="AN143" s="26">
        <v>2.8991628413080849E-4</v>
      </c>
      <c r="AO143" s="26">
        <v>3.4367944046855226E-4</v>
      </c>
      <c r="AP143" s="26">
        <v>1.0594580880566367E-4</v>
      </c>
      <c r="AQ143" s="26">
        <v>1.9607415232593704E-4</v>
      </c>
      <c r="AR143" s="26">
        <v>2.4031329780443349E-4</v>
      </c>
      <c r="AS143" s="26">
        <v>3.8917121559819279E-4</v>
      </c>
      <c r="AT143" s="26">
        <v>5.280586412443356E-4</v>
      </c>
      <c r="AU143" s="26"/>
      <c r="AV143" s="26"/>
      <c r="AW143" s="26"/>
      <c r="AX143" s="26"/>
      <c r="AY143" s="26"/>
      <c r="AZ143" s="26"/>
      <c r="BA143" s="26"/>
      <c r="BB143" s="26"/>
      <c r="BC143" s="26"/>
      <c r="BD143" s="26"/>
      <c r="BE143" s="26"/>
      <c r="BF143" s="26"/>
      <c r="BG143" s="26"/>
      <c r="BH143" s="26"/>
      <c r="BI143" s="26">
        <v>1.5123901435710506E-4</v>
      </c>
      <c r="BJ143" s="26">
        <v>2.2224504830190087E-4</v>
      </c>
      <c r="BK143" s="26">
        <v>2.0348309795648655E-4</v>
      </c>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v>8.3051929827955518E-4</v>
      </c>
      <c r="DN143" s="26">
        <v>1.4235538232073436E-3</v>
      </c>
      <c r="DO143" s="26">
        <v>9.2591185756442373E-4</v>
      </c>
      <c r="DP143" s="26"/>
      <c r="DQ143" s="26">
        <v>1.0535743820162138E-3</v>
      </c>
      <c r="DR143" s="26"/>
      <c r="DS143" s="26"/>
      <c r="DT143" s="26"/>
      <c r="DU143" s="26"/>
      <c r="DV143" s="26">
        <v>1.2073255010602449E-3</v>
      </c>
      <c r="DW143" s="26"/>
      <c r="DX143" s="26"/>
      <c r="DY143" s="26">
        <v>3.0705445536946519E-4</v>
      </c>
      <c r="DZ143" s="26">
        <v>1.224434494825225E-3</v>
      </c>
      <c r="EA143" s="26">
        <v>1.8708970743230378E-3</v>
      </c>
      <c r="EB143" s="26">
        <v>2.9541622986436595E-3</v>
      </c>
      <c r="EC143" s="26"/>
      <c r="ED143" s="26"/>
      <c r="EE143" s="26"/>
      <c r="EF143" s="26"/>
      <c r="EG143" s="26"/>
      <c r="EH143" s="26"/>
      <c r="EI143" s="26"/>
      <c r="EJ143" s="26"/>
      <c r="EK143" s="26"/>
      <c r="EL143" s="26"/>
      <c r="EM143" s="26">
        <v>4.6997604325302654E-5</v>
      </c>
      <c r="EN143" s="26">
        <v>4.5601422584918982E-5</v>
      </c>
      <c r="EO143" s="26"/>
      <c r="EP143" s="26"/>
      <c r="EQ143" s="26"/>
      <c r="ER143" s="26">
        <v>4.9307010942974195E-5</v>
      </c>
      <c r="ES143" s="26">
        <v>2.9574615862403679E-5</v>
      </c>
      <c r="ET143" s="26"/>
      <c r="EU143" s="26"/>
      <c r="EV143" s="26"/>
      <c r="EW143" s="26">
        <v>5.1211893742911718E-5</v>
      </c>
      <c r="EX143" s="26">
        <v>3.9179854958314748E-5</v>
      </c>
      <c r="EY143" s="26"/>
      <c r="EZ143" s="26"/>
      <c r="FA143" s="26"/>
      <c r="FB143" s="26">
        <v>4.8566087393032483E-5</v>
      </c>
      <c r="FC143" s="26">
        <v>1.5774515360333528E-4</v>
      </c>
      <c r="FD143" s="26"/>
      <c r="FE143" s="26"/>
      <c r="FF143" s="26"/>
      <c r="FG143" s="26">
        <v>5.5491052124486484E-5</v>
      </c>
      <c r="FH143" s="26">
        <v>5.509340745975909E-4</v>
      </c>
      <c r="FI143" s="26"/>
      <c r="FJ143" s="26"/>
      <c r="FK143" s="26"/>
    </row>
    <row r="144" spans="3:167" x14ac:dyDescent="0.2">
      <c r="C144" s="10">
        <f t="shared" si="132"/>
        <v>1.0263611254753252E-8</v>
      </c>
      <c r="D144" s="10">
        <f t="shared" si="133"/>
        <v>5.0198044903397777E-2</v>
      </c>
      <c r="E144" s="10" cm="1">
        <f t="array" ref="E144">gavg(AF144,EL144)</f>
        <v>2.5214613834076948E-5</v>
      </c>
      <c r="F144" s="10" cm="1">
        <f t="array" ref="F144">lnstdev(AF144,EL144)</f>
        <v>4.4424391168732926</v>
      </c>
      <c r="G144" s="10">
        <f t="shared" si="134"/>
        <v>21</v>
      </c>
      <c r="H144" s="10">
        <f t="shared" si="135"/>
        <v>3.3312430589616485E-6</v>
      </c>
      <c r="I144" s="10">
        <f t="shared" si="136"/>
        <v>7.8223319203516646E-6</v>
      </c>
      <c r="J144" s="10"/>
      <c r="K144" s="10"/>
      <c r="L144" s="10">
        <f t="shared" si="137"/>
        <v>4</v>
      </c>
      <c r="M144" s="10">
        <f t="shared" si="138"/>
        <v>1.0263611254753252E-8</v>
      </c>
      <c r="N144" s="10">
        <f t="shared" si="139"/>
        <v>3.1777763177394993E-4</v>
      </c>
      <c r="O144" s="10">
        <f t="shared" si="140"/>
        <v>8</v>
      </c>
      <c r="P144" s="10">
        <f t="shared" si="141"/>
        <v>0</v>
      </c>
      <c r="Q144" s="10">
        <f t="shared" si="142"/>
        <v>0</v>
      </c>
      <c r="R144" s="10">
        <f t="shared" si="143"/>
        <v>0</v>
      </c>
      <c r="S144" s="10">
        <f t="shared" si="144"/>
        <v>1.8387319102188966E-4</v>
      </c>
      <c r="T144" s="10">
        <f t="shared" si="145"/>
        <v>3.270827675143897E-3</v>
      </c>
      <c r="U144" s="10">
        <f t="shared" si="146"/>
        <v>4</v>
      </c>
      <c r="V144" s="10">
        <f t="shared" si="123"/>
        <v>3.3957590883779812E-6</v>
      </c>
      <c r="W144" s="10">
        <f t="shared" si="124"/>
        <v>5.0198044903397777E-2</v>
      </c>
      <c r="X144" s="10">
        <f t="shared" si="125"/>
        <v>5</v>
      </c>
      <c r="Y144" s="10">
        <f t="shared" si="126"/>
        <v>1.6569673554887655E-3</v>
      </c>
      <c r="Z144" s="10">
        <f t="shared" si="127"/>
        <v>1.6569673554887655E-3</v>
      </c>
      <c r="AA144" s="10">
        <f t="shared" si="128"/>
        <v>1</v>
      </c>
      <c r="AB144" s="10">
        <f t="shared" si="129"/>
        <v>3.3957590883779812E-6</v>
      </c>
      <c r="AC144" s="10">
        <f t="shared" si="130"/>
        <v>5.0198044903397777E-2</v>
      </c>
      <c r="AD144" s="10">
        <f t="shared" si="131"/>
        <v>4</v>
      </c>
      <c r="AE144" s="5" t="s">
        <v>491</v>
      </c>
      <c r="AF144" s="26"/>
      <c r="AG144" s="26"/>
      <c r="AH144" s="26"/>
      <c r="AI144" s="26"/>
      <c r="AJ144" s="26"/>
      <c r="AK144" s="26"/>
      <c r="AL144" s="26">
        <v>3.3312430589616485E-6</v>
      </c>
      <c r="AM144" s="26">
        <v>7.3378853424849925E-6</v>
      </c>
      <c r="AN144" s="26">
        <v>7.8223319203516646E-6</v>
      </c>
      <c r="AO144" s="26">
        <v>6.8921883590877108E-6</v>
      </c>
      <c r="AP144" s="26">
        <v>1.0263611254753252E-8</v>
      </c>
      <c r="AQ144" s="26">
        <v>5.4112472106500152E-8</v>
      </c>
      <c r="AR144" s="26">
        <v>3.3451213963983326E-6</v>
      </c>
      <c r="AS144" s="26">
        <v>4.3594060864600906E-5</v>
      </c>
      <c r="AT144" s="26">
        <v>3.1777763177394993E-4</v>
      </c>
      <c r="AU144" s="26"/>
      <c r="AV144" s="26"/>
      <c r="AW144" s="26"/>
      <c r="AX144" s="26"/>
      <c r="AY144" s="26"/>
      <c r="AZ144" s="26"/>
      <c r="BA144" s="26"/>
      <c r="BB144" s="26"/>
      <c r="BC144" s="26"/>
      <c r="BD144" s="26"/>
      <c r="BE144" s="26"/>
      <c r="BF144" s="26"/>
      <c r="BG144" s="26"/>
      <c r="BH144" s="26"/>
      <c r="BI144" s="26">
        <v>2.8557320014565028E-8</v>
      </c>
      <c r="BJ144" s="26">
        <v>1.0745204086109024E-6</v>
      </c>
      <c r="BK144" s="26">
        <v>8.0998261714627658E-8</v>
      </c>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v>1.8387319102188966E-4</v>
      </c>
      <c r="DN144" s="26">
        <v>3.270827675143897E-3</v>
      </c>
      <c r="DO144" s="26">
        <v>1.3182300064528095E-3</v>
      </c>
      <c r="DP144" s="26"/>
      <c r="DQ144" s="26">
        <v>1.4887269718444939E-3</v>
      </c>
      <c r="DR144" s="26"/>
      <c r="DS144" s="26"/>
      <c r="DT144" s="26"/>
      <c r="DU144" s="26"/>
      <c r="DV144" s="26">
        <v>1.6569673554887655E-3</v>
      </c>
      <c r="DW144" s="26"/>
      <c r="DX144" s="26"/>
      <c r="DY144" s="26">
        <v>3.3957590883779812E-6</v>
      </c>
      <c r="DZ144" s="26">
        <v>1.1197104351254271E-3</v>
      </c>
      <c r="EA144" s="26">
        <v>8.646384171384195E-3</v>
      </c>
      <c r="EB144" s="26">
        <v>5.0198044903397777E-2</v>
      </c>
      <c r="EC144" s="26"/>
      <c r="ED144" s="26"/>
      <c r="EE144" s="26"/>
      <c r="EF144" s="26"/>
      <c r="EG144" s="26"/>
      <c r="EH144" s="26"/>
      <c r="EI144" s="26"/>
      <c r="EJ144" s="26"/>
      <c r="EK144" s="26"/>
      <c r="EL144" s="26"/>
      <c r="EM144" s="26">
        <v>2.2258545426291163E-9</v>
      </c>
      <c r="EN144" s="26">
        <v>3.9610158665135103E-9</v>
      </c>
      <c r="EO144" s="26"/>
      <c r="EP144" s="26"/>
      <c r="EQ144" s="26"/>
      <c r="ER144" s="26">
        <v>1.5495002279065027E-9</v>
      </c>
      <c r="ES144" s="26">
        <v>2.0890858886504666E-7</v>
      </c>
      <c r="ET144" s="26"/>
      <c r="EU144" s="26"/>
      <c r="EV144" s="26"/>
      <c r="EW144" s="26">
        <v>4.1380959611613444E-9</v>
      </c>
      <c r="EX144" s="26">
        <v>6.8556960655948825E-7</v>
      </c>
      <c r="EY144" s="26"/>
      <c r="EZ144" s="26"/>
      <c r="FA144" s="26"/>
      <c r="FB144" s="26">
        <v>5.1963116081403397E-9</v>
      </c>
      <c r="FC144" s="26">
        <v>2.3315909363752806E-5</v>
      </c>
      <c r="FD144" s="26"/>
      <c r="FE144" s="26"/>
      <c r="FF144" s="26"/>
      <c r="FG144" s="26">
        <v>9.1161515508772583E-8</v>
      </c>
      <c r="FH144" s="26">
        <v>2.4228612780127166E-4</v>
      </c>
      <c r="FI144" s="26"/>
      <c r="FJ144" s="26"/>
      <c r="FK144" s="26"/>
    </row>
    <row r="145" spans="3:167" x14ac:dyDescent="0.2">
      <c r="C145" s="10">
        <f t="shared" si="132"/>
        <v>1.3857504480181566E-8</v>
      </c>
      <c r="D145" s="10">
        <f t="shared" si="133"/>
        <v>3.9461668995730122E-2</v>
      </c>
      <c r="E145" s="10" cm="1">
        <f t="array" ref="E145">gavg(AF145,EL145)</f>
        <v>1.3215595660689587E-5</v>
      </c>
      <c r="F145" s="10" cm="1">
        <f t="array" ref="F145">lnstdev(AF145,EL145)</f>
        <v>4.148125358065629</v>
      </c>
      <c r="G145" s="10">
        <f t="shared" si="134"/>
        <v>21</v>
      </c>
      <c r="H145" s="10">
        <f t="shared" si="135"/>
        <v>1.2542029851515517E-6</v>
      </c>
      <c r="I145" s="10">
        <f t="shared" si="136"/>
        <v>3.6004404056860452E-6</v>
      </c>
      <c r="J145" s="10"/>
      <c r="K145" s="10"/>
      <c r="L145" s="10">
        <f t="shared" si="137"/>
        <v>4</v>
      </c>
      <c r="M145" s="10">
        <f t="shared" si="138"/>
        <v>1.3857504480181566E-8</v>
      </c>
      <c r="N145" s="10">
        <f t="shared" si="139"/>
        <v>3.5503759865297937E-5</v>
      </c>
      <c r="O145" s="10">
        <f t="shared" si="140"/>
        <v>8</v>
      </c>
      <c r="P145" s="10">
        <f t="shared" si="141"/>
        <v>0</v>
      </c>
      <c r="Q145" s="10">
        <f t="shared" si="142"/>
        <v>0</v>
      </c>
      <c r="R145" s="10">
        <f t="shared" si="143"/>
        <v>0</v>
      </c>
      <c r="S145" s="10">
        <f t="shared" si="144"/>
        <v>1.906671871666099E-4</v>
      </c>
      <c r="T145" s="10">
        <f t="shared" si="145"/>
        <v>2.4591168879224863E-3</v>
      </c>
      <c r="U145" s="10">
        <f t="shared" si="146"/>
        <v>4</v>
      </c>
      <c r="V145" s="10">
        <f t="shared" si="123"/>
        <v>8.1056258945619145E-7</v>
      </c>
      <c r="W145" s="10">
        <f t="shared" si="124"/>
        <v>3.9461668995730122E-2</v>
      </c>
      <c r="X145" s="10">
        <f t="shared" si="125"/>
        <v>5</v>
      </c>
      <c r="Y145" s="10">
        <f t="shared" si="126"/>
        <v>5.3255910832457776E-4</v>
      </c>
      <c r="Z145" s="10">
        <f t="shared" si="127"/>
        <v>5.3255910832457776E-4</v>
      </c>
      <c r="AA145" s="10">
        <f t="shared" si="128"/>
        <v>1</v>
      </c>
      <c r="AB145" s="10">
        <f t="shared" si="129"/>
        <v>8.1056258945619145E-7</v>
      </c>
      <c r="AC145" s="10">
        <f t="shared" si="130"/>
        <v>3.9461668995730122E-2</v>
      </c>
      <c r="AD145" s="10">
        <f t="shared" si="131"/>
        <v>4</v>
      </c>
      <c r="AE145" s="5" t="s">
        <v>492</v>
      </c>
      <c r="AF145" s="26"/>
      <c r="AG145" s="26"/>
      <c r="AH145" s="26"/>
      <c r="AI145" s="26"/>
      <c r="AJ145" s="26"/>
      <c r="AK145" s="26"/>
      <c r="AL145" s="26">
        <v>1.2542029851515517E-6</v>
      </c>
      <c r="AM145" s="26">
        <v>1.916333337452869E-6</v>
      </c>
      <c r="AN145" s="26">
        <v>1.5689348081764975E-6</v>
      </c>
      <c r="AO145" s="26">
        <v>3.6004404056860452E-6</v>
      </c>
      <c r="AP145" s="26">
        <v>1.3857504480181566E-8</v>
      </c>
      <c r="AQ145" s="26">
        <v>2.0636852232613156E-7</v>
      </c>
      <c r="AR145" s="26">
        <v>8.6872154464934176E-7</v>
      </c>
      <c r="AS145" s="26">
        <v>8.1068211715272813E-6</v>
      </c>
      <c r="AT145" s="26">
        <v>3.5503759865297937E-5</v>
      </c>
      <c r="AU145" s="26"/>
      <c r="AV145" s="26"/>
      <c r="AW145" s="26"/>
      <c r="AX145" s="26"/>
      <c r="AY145" s="26"/>
      <c r="AZ145" s="26"/>
      <c r="BA145" s="26"/>
      <c r="BB145" s="26"/>
      <c r="BC145" s="26"/>
      <c r="BD145" s="26"/>
      <c r="BE145" s="26"/>
      <c r="BF145" s="26"/>
      <c r="BG145" s="26"/>
      <c r="BH145" s="26"/>
      <c r="BI145" s="26">
        <v>5.1075499222930498E-8</v>
      </c>
      <c r="BJ145" s="26">
        <v>4.4453517408270377E-7</v>
      </c>
      <c r="BK145" s="26">
        <v>2.4111574927632757E-7</v>
      </c>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v>1.906671871666099E-4</v>
      </c>
      <c r="DN145" s="26">
        <v>2.4591168879224863E-3</v>
      </c>
      <c r="DO145" s="26">
        <v>3.4759479193778375E-4</v>
      </c>
      <c r="DP145" s="26"/>
      <c r="DQ145" s="26">
        <v>7.5895184282628208E-4</v>
      </c>
      <c r="DR145" s="26"/>
      <c r="DS145" s="26"/>
      <c r="DT145" s="26"/>
      <c r="DU145" s="26"/>
      <c r="DV145" s="26">
        <v>5.3255910832457776E-4</v>
      </c>
      <c r="DW145" s="26"/>
      <c r="DX145" s="26"/>
      <c r="DY145" s="26">
        <v>8.1056258945619145E-7</v>
      </c>
      <c r="DZ145" s="26">
        <v>6.0351498342746932E-4</v>
      </c>
      <c r="EA145" s="26">
        <v>5.1639657195250328E-3</v>
      </c>
      <c r="EB145" s="26">
        <v>3.9461668995730122E-2</v>
      </c>
      <c r="EC145" s="26"/>
      <c r="ED145" s="26"/>
      <c r="EE145" s="26"/>
      <c r="EF145" s="26"/>
      <c r="EG145" s="26"/>
      <c r="EH145" s="26"/>
      <c r="EI145" s="26"/>
      <c r="EJ145" s="26"/>
      <c r="EK145" s="26"/>
      <c r="EL145" s="26"/>
      <c r="EM145" s="26">
        <v>9.8992244701818531E-10</v>
      </c>
      <c r="EN145" s="26">
        <v>2.9793051300996812E-9</v>
      </c>
      <c r="EO145" s="26"/>
      <c r="EP145" s="26"/>
      <c r="EQ145" s="26"/>
      <c r="ER145" s="26">
        <v>1.0470725627886784E-9</v>
      </c>
      <c r="ES145" s="26">
        <v>7.3283937121966262E-10</v>
      </c>
      <c r="ET145" s="26"/>
      <c r="EU145" s="26"/>
      <c r="EV145" s="26"/>
      <c r="EW145" s="26">
        <v>1.3288504775923112E-9</v>
      </c>
      <c r="EX145" s="26">
        <v>1.6138276642004433E-9</v>
      </c>
      <c r="EY145" s="26"/>
      <c r="EZ145" s="26"/>
      <c r="FA145" s="26"/>
      <c r="FB145" s="26">
        <v>8.208446219430382E-10</v>
      </c>
      <c r="FC145" s="26">
        <v>2.9085125566320836E-7</v>
      </c>
      <c r="FD145" s="26"/>
      <c r="FE145" s="26"/>
      <c r="FF145" s="26"/>
      <c r="FG145" s="26">
        <v>1.350413529163887E-9</v>
      </c>
      <c r="FH145" s="26">
        <v>3.1271302032692475E-5</v>
      </c>
      <c r="FI145" s="26"/>
      <c r="FJ145" s="26"/>
      <c r="FK145" s="26"/>
    </row>
    <row r="146" spans="3:167" x14ac:dyDescent="0.2">
      <c r="C146" s="10">
        <f t="shared" ref="C146" si="147">MIN(AF146:EL146)</f>
        <v>7.5968374043197968E-3</v>
      </c>
      <c r="D146" s="10">
        <f t="shared" ref="D146" si="148">MAX(AF146:EL146)</f>
        <v>2.0429998860730483</v>
      </c>
      <c r="E146" s="10" cm="1">
        <f t="array" ref="E146">gavg(AF146,EL146)</f>
        <v>0.32298367082481366</v>
      </c>
      <c r="F146" s="10" cm="1">
        <f t="array" ref="F146">lnstdev(AF146,EL146)</f>
        <v>1.4707541606980139</v>
      </c>
      <c r="G146" s="10">
        <f t="shared" ref="G146" si="149">COUNT(AF146:EL146)</f>
        <v>21</v>
      </c>
      <c r="H146" s="10">
        <f t="shared" ref="H146" si="150">MIN(AF146:AO146)</f>
        <v>1.3133252362060763</v>
      </c>
      <c r="I146" s="10">
        <f t="shared" ref="I146" si="151">MAX(AF146:AO146)</f>
        <v>2.0429998860730483</v>
      </c>
      <c r="J146" s="10"/>
      <c r="K146" s="10"/>
      <c r="L146" s="10">
        <f t="shared" ref="L146" si="152">COUNT(AF146:AO146)</f>
        <v>4</v>
      </c>
      <c r="M146" s="10">
        <f t="shared" ref="M146" si="153">MIN(AP146:BL146)</f>
        <v>0.23726994985445807</v>
      </c>
      <c r="N146" s="10">
        <f t="shared" ref="N146" si="154">MAX(AP146:BL146)</f>
        <v>1.2466038479477546</v>
      </c>
      <c r="O146" s="10">
        <f t="shared" ref="O146" si="155">COUNT(AP146:BL146)</f>
        <v>8</v>
      </c>
      <c r="P146" s="10">
        <f t="shared" ref="P146" si="156">MIN(BM146:CO146)</f>
        <v>0</v>
      </c>
      <c r="Q146" s="10">
        <f t="shared" ref="Q146" si="157">MAX(BM146:CO146)</f>
        <v>0</v>
      </c>
      <c r="R146" s="10">
        <f t="shared" ref="R146" si="158">COUNT(BM146:CO146)</f>
        <v>0</v>
      </c>
      <c r="S146" s="10">
        <f t="shared" ref="S146" si="159">MIN(CP146:DT146)</f>
        <v>0.32370226968191579</v>
      </c>
      <c r="T146" s="10">
        <f t="shared" ref="T146" si="160">MAX(CP146:DT146)</f>
        <v>0.4414751262037756</v>
      </c>
      <c r="U146" s="10">
        <f t="shared" ref="U146" si="161">COUNT(CP146:DT146)</f>
        <v>4</v>
      </c>
      <c r="V146" s="10">
        <f t="shared" si="123"/>
        <v>7.5968374043197968E-3</v>
      </c>
      <c r="W146" s="10">
        <f t="shared" si="124"/>
        <v>0.10154694569469937</v>
      </c>
      <c r="X146" s="10">
        <f t="shared" si="125"/>
        <v>5</v>
      </c>
      <c r="Y146" s="10">
        <f t="shared" si="126"/>
        <v>2.9246611745039768E-2</v>
      </c>
      <c r="Z146" s="10">
        <f t="shared" si="127"/>
        <v>2.9246611745039768E-2</v>
      </c>
      <c r="AA146" s="10">
        <f t="shared" si="128"/>
        <v>1</v>
      </c>
      <c r="AB146" s="10">
        <f t="shared" si="129"/>
        <v>7.5968374043197968E-3</v>
      </c>
      <c r="AC146" s="10">
        <f t="shared" si="130"/>
        <v>0.10154694569469937</v>
      </c>
      <c r="AD146" s="10">
        <f t="shared" si="131"/>
        <v>4</v>
      </c>
      <c r="AE146" s="5" t="s">
        <v>566</v>
      </c>
      <c r="AF146" s="26"/>
      <c r="AG146" s="26"/>
      <c r="AH146" s="26"/>
      <c r="AI146" s="26"/>
      <c r="AJ146" s="26"/>
      <c r="AK146" s="26"/>
      <c r="AL146" s="26">
        <v>1.3133252362060763</v>
      </c>
      <c r="AM146" s="26">
        <v>1.4804757233991961</v>
      </c>
      <c r="AN146" s="26">
        <v>1.7062335406330302</v>
      </c>
      <c r="AO146" s="26">
        <v>2.0429998860730483</v>
      </c>
      <c r="AP146" s="26">
        <v>0.37533967991224443</v>
      </c>
      <c r="AQ146" s="26">
        <v>0.41080507160274121</v>
      </c>
      <c r="AR146" s="26">
        <v>0.72218351501184785</v>
      </c>
      <c r="AS146" s="26">
        <v>0.9864518474226166</v>
      </c>
      <c r="AT146" s="26">
        <v>1.2466038479477546</v>
      </c>
      <c r="AU146" s="26"/>
      <c r="AV146" s="26"/>
      <c r="AW146" s="26"/>
      <c r="AX146" s="26"/>
      <c r="AY146" s="26"/>
      <c r="AZ146" s="26"/>
      <c r="BA146" s="26"/>
      <c r="BB146" s="26"/>
      <c r="BC146" s="26"/>
      <c r="BD146" s="26"/>
      <c r="BE146" s="26"/>
      <c r="BF146" s="26"/>
      <c r="BG146" s="26"/>
      <c r="BH146" s="26"/>
      <c r="BI146" s="26">
        <v>0.23726994985445807</v>
      </c>
      <c r="BJ146" s="26">
        <v>0.4826241894972052</v>
      </c>
      <c r="BK146" s="26">
        <v>0.41914280877775506</v>
      </c>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v>0.32370226968191579</v>
      </c>
      <c r="DN146" s="26">
        <v>0.42493021372642364</v>
      </c>
      <c r="DO146" s="26">
        <v>0.3309684678916302</v>
      </c>
      <c r="DP146" s="26"/>
      <c r="DQ146" s="26">
        <v>0.4414751262037756</v>
      </c>
      <c r="DR146" s="26"/>
      <c r="DS146" s="26"/>
      <c r="DT146" s="26"/>
      <c r="DU146" s="26"/>
      <c r="DV146" s="26">
        <v>2.9246611745039768E-2</v>
      </c>
      <c r="DW146" s="26"/>
      <c r="DX146" s="26"/>
      <c r="DY146" s="26">
        <v>7.5968374043197968E-3</v>
      </c>
      <c r="DZ146" s="26">
        <v>3.3820789225584902E-2</v>
      </c>
      <c r="EA146" s="26">
        <v>7.2155632665510436E-2</v>
      </c>
      <c r="EB146" s="26">
        <v>0.10154694569469937</v>
      </c>
      <c r="EC146" s="26"/>
      <c r="ED146" s="26"/>
      <c r="EE146" s="26"/>
      <c r="EF146" s="26"/>
      <c r="EG146" s="26"/>
      <c r="EH146" s="26"/>
      <c r="EI146" s="26"/>
      <c r="EJ146" s="26"/>
      <c r="EK146" s="26"/>
      <c r="EL146" s="26"/>
      <c r="EM146" s="26">
        <v>1.4172819277457891E-2</v>
      </c>
      <c r="EN146" s="26">
        <v>4.0237681460097062E-2</v>
      </c>
      <c r="EO146" s="26"/>
      <c r="EP146" s="26"/>
      <c r="EQ146" s="26"/>
      <c r="ER146" s="26">
        <v>1.1076906926229707E-2</v>
      </c>
      <c r="ES146" s="26">
        <v>6.2088880823555695E-2</v>
      </c>
      <c r="ET146" s="26"/>
      <c r="EU146" s="26"/>
      <c r="EV146" s="26"/>
      <c r="EW146" s="26">
        <v>1.3433758803597432E-2</v>
      </c>
      <c r="EX146" s="26">
        <v>3.6734203927860427E-2</v>
      </c>
      <c r="EY146" s="26"/>
      <c r="EZ146" s="26"/>
      <c r="FA146" s="26"/>
      <c r="FB146" s="26">
        <v>7.6261197335132569E-3</v>
      </c>
      <c r="FC146" s="26">
        <v>3.5649754414297387E-2</v>
      </c>
      <c r="FD146" s="26"/>
      <c r="FE146" s="26"/>
      <c r="FF146" s="26"/>
      <c r="FG146" s="26">
        <v>7.6140083937022976E-3</v>
      </c>
      <c r="FH146" s="26">
        <v>3.5666335596217111E-2</v>
      </c>
      <c r="FI146" s="26"/>
      <c r="FJ146" s="26"/>
      <c r="FK146" s="26"/>
    </row>
    <row r="147" spans="3:167" ht="13.5" thickBot="1" x14ac:dyDescent="0.25">
      <c r="C147" s="10">
        <f t="shared" ref="C147" si="162">MIN(AF147:EL147)</f>
        <v>0.55579877603292815</v>
      </c>
      <c r="D147" s="10">
        <f t="shared" ref="D147" si="163">MAX(AF147:EL147)</f>
        <v>1.4332281689727671</v>
      </c>
      <c r="E147" s="10" cm="1">
        <f t="array" ref="E147">gavg(AF147,EL147)</f>
        <v>0.79969902059536413</v>
      </c>
      <c r="F147" s="10" cm="1">
        <f t="array" ref="F147">lnstdev(AF147,EL147)</f>
        <v>0.29913593996619098</v>
      </c>
      <c r="G147" s="10">
        <f t="shared" ref="G147" si="164">COUNT(AF147:EL147)</f>
        <v>21</v>
      </c>
      <c r="H147" s="10">
        <f t="shared" ref="H147" si="165">MIN(AF147:AO147)</f>
        <v>1.1705955631365437</v>
      </c>
      <c r="I147" s="10">
        <f t="shared" ref="I147" si="166">MAX(AF147:AO147)</f>
        <v>1.4332281689727671</v>
      </c>
      <c r="J147" s="10"/>
      <c r="K147" s="10"/>
      <c r="L147" s="10">
        <f t="shared" ref="L147" si="167">COUNT(AF147:AO147)</f>
        <v>4</v>
      </c>
      <c r="M147" s="10">
        <f t="shared" ref="M147" si="168">MIN(AP147:BL147)</f>
        <v>0.58724897089533346</v>
      </c>
      <c r="N147" s="10">
        <f t="shared" ref="N147" si="169">MAX(AP147:BL147)</f>
        <v>1.1419498503094647</v>
      </c>
      <c r="O147" s="10">
        <f t="shared" ref="O147" si="170">COUNT(AP147:BL147)</f>
        <v>8</v>
      </c>
      <c r="P147" s="10">
        <f t="shared" ref="P147" si="171">MIN(BM147:CO147)</f>
        <v>0</v>
      </c>
      <c r="Q147" s="10">
        <f t="shared" ref="Q147" si="172">MAX(BM147:CO147)</f>
        <v>0</v>
      </c>
      <c r="R147" s="10">
        <f t="shared" ref="R147" si="173">COUNT(BM147:CO147)</f>
        <v>0</v>
      </c>
      <c r="S147" s="10">
        <f t="shared" ref="S147" si="174">MIN(CP147:DT147)</f>
        <v>0.55579877603292815</v>
      </c>
      <c r="T147" s="10">
        <f t="shared" ref="T147" si="175">MAX(CP147:DT147)</f>
        <v>0.69023637842534158</v>
      </c>
      <c r="U147" s="10">
        <f t="shared" ref="U147" si="176">COUNT(CP147:DT147)</f>
        <v>4</v>
      </c>
      <c r="V147" s="10">
        <f t="shared" si="123"/>
        <v>0.58195434428362602</v>
      </c>
      <c r="W147" s="10">
        <f t="shared" si="124"/>
        <v>0.82969149626429994</v>
      </c>
      <c r="X147" s="10">
        <f t="shared" si="125"/>
        <v>5</v>
      </c>
      <c r="Y147" s="10">
        <f t="shared" si="126"/>
        <v>0.80587785374777376</v>
      </c>
      <c r="Z147" s="10">
        <f t="shared" si="127"/>
        <v>0.80587785374777376</v>
      </c>
      <c r="AA147" s="10">
        <f t="shared" si="128"/>
        <v>1</v>
      </c>
      <c r="AB147" s="10">
        <f t="shared" si="129"/>
        <v>0.58195434428362602</v>
      </c>
      <c r="AC147" s="10">
        <f t="shared" si="130"/>
        <v>0.82969149626429994</v>
      </c>
      <c r="AD147" s="10">
        <f t="shared" si="131"/>
        <v>4</v>
      </c>
      <c r="AE147" s="5" t="s">
        <v>564</v>
      </c>
      <c r="AF147" s="26"/>
      <c r="AG147" s="26"/>
      <c r="AH147" s="26"/>
      <c r="AI147" s="26"/>
      <c r="AJ147" s="26"/>
      <c r="AK147" s="26"/>
      <c r="AL147" s="26">
        <v>1.1705955631365437</v>
      </c>
      <c r="AM147" s="26">
        <v>1.2438256570184547</v>
      </c>
      <c r="AN147" s="26">
        <v>1.329503627697955</v>
      </c>
      <c r="AO147" s="26">
        <v>1.4332281689727671</v>
      </c>
      <c r="AP147" s="26">
        <v>0.58724897089533346</v>
      </c>
      <c r="AQ147" s="26">
        <v>0.62238665682071348</v>
      </c>
      <c r="AR147" s="26">
        <v>0.82315864572767339</v>
      </c>
      <c r="AS147" s="26">
        <v>0.99238094439661817</v>
      </c>
      <c r="AT147" s="26">
        <v>1.1419498503094647</v>
      </c>
      <c r="AU147" s="26"/>
      <c r="AV147" s="26"/>
      <c r="AW147" s="26"/>
      <c r="AX147" s="26"/>
      <c r="AY147" s="26"/>
      <c r="AZ147" s="26"/>
      <c r="BA147" s="26"/>
      <c r="BB147" s="26"/>
      <c r="BC147" s="26"/>
      <c r="BD147" s="26"/>
      <c r="BE147" s="26"/>
      <c r="BF147" s="26"/>
      <c r="BG147" s="26"/>
      <c r="BH147" s="26"/>
      <c r="BI147" s="26">
        <v>0.62754351173786849</v>
      </c>
      <c r="BJ147" s="26">
        <v>0.68625564597007416</v>
      </c>
      <c r="BK147" s="26">
        <v>0.62856028162981192</v>
      </c>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v>0.55579877603292815</v>
      </c>
      <c r="DN147" s="26">
        <v>0.69023637842534158</v>
      </c>
      <c r="DO147" s="26">
        <v>0.59427806020602769</v>
      </c>
      <c r="DP147" s="26"/>
      <c r="DQ147" s="26">
        <v>0.67064252374400601</v>
      </c>
      <c r="DR147" s="26"/>
      <c r="DS147" s="26"/>
      <c r="DT147" s="26"/>
      <c r="DU147" s="26"/>
      <c r="DV147" s="26">
        <v>0.80587785374777376</v>
      </c>
      <c r="DW147" s="26"/>
      <c r="DX147" s="26"/>
      <c r="DY147" s="26">
        <v>0.58195434428362602</v>
      </c>
      <c r="DZ147" s="26">
        <v>0.76588537280865465</v>
      </c>
      <c r="EA147" s="26">
        <v>0.78430249370475802</v>
      </c>
      <c r="EB147" s="26">
        <v>0.82969149626429994</v>
      </c>
      <c r="EC147" s="26"/>
      <c r="ED147" s="26"/>
      <c r="EE147" s="26"/>
      <c r="EF147" s="26"/>
      <c r="EG147" s="26"/>
      <c r="EH147" s="26"/>
      <c r="EI147" s="26"/>
      <c r="EJ147" s="26"/>
      <c r="EK147" s="26"/>
      <c r="EL147" s="26"/>
      <c r="EM147" s="26">
        <v>0.42243309293931613</v>
      </c>
      <c r="EN147" s="26">
        <v>0.82518880401250683</v>
      </c>
      <c r="EO147" s="26"/>
      <c r="EP147" s="26"/>
      <c r="EQ147" s="26"/>
      <c r="ER147" s="26">
        <v>0.45057003289633601</v>
      </c>
      <c r="ES147" s="26">
        <v>0.62504102885420354</v>
      </c>
      <c r="ET147" s="26"/>
      <c r="EU147" s="26"/>
      <c r="EV147" s="26"/>
      <c r="EW147" s="26">
        <v>0.41404205602378774</v>
      </c>
      <c r="EX147" s="26">
        <v>0.78652096184402964</v>
      </c>
      <c r="EY147" s="26"/>
      <c r="EZ147" s="26"/>
      <c r="FA147" s="26"/>
      <c r="FB147" s="26">
        <v>0.58169365224071101</v>
      </c>
      <c r="FC147" s="26">
        <v>0.75476651302278075</v>
      </c>
      <c r="FD147" s="26"/>
      <c r="FE147" s="26"/>
      <c r="FF147" s="26"/>
      <c r="FG147" s="26">
        <v>0.5841017640088001</v>
      </c>
      <c r="FH147" s="26">
        <v>0.72420641613067127</v>
      </c>
      <c r="FI147" s="26"/>
      <c r="FJ147" s="26"/>
      <c r="FK147" s="26"/>
    </row>
    <row r="148" spans="3:167" x14ac:dyDescent="0.2">
      <c r="C148" s="10">
        <f t="shared" si="132"/>
        <v>4.4851975314250794</v>
      </c>
      <c r="D148" s="10">
        <f t="shared" si="133"/>
        <v>17.739428694097697</v>
      </c>
      <c r="E148" s="10" cm="1">
        <f t="array" ref="E148">gavg(AF148,EL148)</f>
        <v>9.9056999001879404</v>
      </c>
      <c r="F148" s="10" cm="1">
        <f t="array" ref="F148">lnstdev(AF148,EL148)</f>
        <v>0.36034158643686276</v>
      </c>
      <c r="G148" s="10">
        <f t="shared" si="134"/>
        <v>73</v>
      </c>
      <c r="H148" s="10">
        <f t="shared" si="135"/>
        <v>6.1707405339277317</v>
      </c>
      <c r="I148" s="10">
        <f t="shared" si="136"/>
        <v>6.8478130345633437</v>
      </c>
      <c r="J148" s="10"/>
      <c r="K148" s="10"/>
      <c r="L148" s="10">
        <f t="shared" si="137"/>
        <v>4</v>
      </c>
      <c r="M148" s="10">
        <f t="shared" si="138"/>
        <v>4.4851975314250794</v>
      </c>
      <c r="N148" s="10">
        <f t="shared" si="139"/>
        <v>8.1179945597004384</v>
      </c>
      <c r="O148" s="10">
        <f t="shared" si="140"/>
        <v>10</v>
      </c>
      <c r="P148" s="10">
        <f t="shared" si="141"/>
        <v>12.375894188138137</v>
      </c>
      <c r="Q148" s="10">
        <f t="shared" si="142"/>
        <v>17.739428694097697</v>
      </c>
      <c r="R148" s="10">
        <f t="shared" si="143"/>
        <v>19</v>
      </c>
      <c r="S148" s="10">
        <f t="shared" si="144"/>
        <v>6.3964538460238414</v>
      </c>
      <c r="T148" s="10">
        <f t="shared" si="145"/>
        <v>13.089378388530138</v>
      </c>
      <c r="U148" s="10">
        <f t="shared" si="146"/>
        <v>27</v>
      </c>
      <c r="V148" s="10">
        <f t="shared" si="123"/>
        <v>4.7827104258011648</v>
      </c>
      <c r="W148" s="10">
        <f t="shared" si="124"/>
        <v>10.594858204513915</v>
      </c>
      <c r="X148" s="10">
        <f t="shared" si="125"/>
        <v>13</v>
      </c>
      <c r="Y148" s="10">
        <f t="shared" si="126"/>
        <v>6.92384589216796</v>
      </c>
      <c r="Z148" s="10">
        <f t="shared" si="127"/>
        <v>6.92384589216796</v>
      </c>
      <c r="AA148" s="10">
        <f t="shared" si="128"/>
        <v>1</v>
      </c>
      <c r="AB148" s="10">
        <f t="shared" si="129"/>
        <v>4.7827104258011648</v>
      </c>
      <c r="AC148" s="10">
        <f t="shared" si="130"/>
        <v>10.594858204513915</v>
      </c>
      <c r="AD148" s="10">
        <f t="shared" si="131"/>
        <v>12</v>
      </c>
      <c r="AE148" s="48" t="s">
        <v>381</v>
      </c>
      <c r="AF148" s="51"/>
      <c r="AG148" s="51"/>
      <c r="AH148" s="51"/>
      <c r="AI148" s="51"/>
      <c r="AJ148" s="51"/>
      <c r="AK148" s="51"/>
      <c r="AL148" s="51">
        <v>6.1707405339277317</v>
      </c>
      <c r="AM148" s="51">
        <v>6.1966259124625171</v>
      </c>
      <c r="AN148" s="51">
        <v>6.5552180725629912</v>
      </c>
      <c r="AO148" s="51">
        <v>6.8478130345633437</v>
      </c>
      <c r="AP148" s="51">
        <v>5.7664177230376348</v>
      </c>
      <c r="AQ148" s="51">
        <v>4.4851975314250794</v>
      </c>
      <c r="AR148" s="51">
        <v>6.8557048470839259</v>
      </c>
      <c r="AS148" s="51">
        <v>7.2794485390290742</v>
      </c>
      <c r="AT148" s="51">
        <v>6.8439883937292034</v>
      </c>
      <c r="AU148" s="51"/>
      <c r="AV148" s="51">
        <v>7.050968728361922</v>
      </c>
      <c r="AW148" s="51"/>
      <c r="AX148" s="51"/>
      <c r="AY148" s="51"/>
      <c r="AZ148" s="51"/>
      <c r="BA148" s="51"/>
      <c r="BB148" s="51">
        <v>8.1179945597004384</v>
      </c>
      <c r="BC148" s="51"/>
      <c r="BD148" s="51"/>
      <c r="BE148" s="51"/>
      <c r="BF148" s="51"/>
      <c r="BG148" s="51"/>
      <c r="BH148" s="51"/>
      <c r="BI148" s="51">
        <v>4.50313902736948</v>
      </c>
      <c r="BJ148" s="51">
        <v>6.4236945816413451</v>
      </c>
      <c r="BK148" s="51">
        <v>4.4881273601846132</v>
      </c>
      <c r="BL148" s="51"/>
      <c r="BM148" s="51">
        <v>13.0718083102894</v>
      </c>
      <c r="BN148" s="51">
        <v>15.157383394504809</v>
      </c>
      <c r="BO148" s="51"/>
      <c r="BP148" s="51">
        <v>12.375894188138137</v>
      </c>
      <c r="BQ148" s="51">
        <v>13.214325939565411</v>
      </c>
      <c r="BR148" s="51">
        <v>13.772413317654266</v>
      </c>
      <c r="BS148" s="51">
        <v>14.536813362544542</v>
      </c>
      <c r="BT148" s="51">
        <v>14.844019710888631</v>
      </c>
      <c r="BU148" s="51">
        <v>15.223292575996968</v>
      </c>
      <c r="BV148" s="51">
        <v>15.194005644710657</v>
      </c>
      <c r="BW148" s="51">
        <v>16.237089208992703</v>
      </c>
      <c r="BX148" s="51">
        <v>16.657653432478011</v>
      </c>
      <c r="BY148" s="51">
        <v>16.899833694384537</v>
      </c>
      <c r="BZ148" s="51">
        <v>12.38476239138166</v>
      </c>
      <c r="CA148" s="51">
        <v>15.213931198434937</v>
      </c>
      <c r="CB148" s="51">
        <v>15.168071714709983</v>
      </c>
      <c r="CC148" s="51">
        <v>16.872488723572314</v>
      </c>
      <c r="CD148" s="51">
        <v>17.182016993789322</v>
      </c>
      <c r="CE148" s="51">
        <v>17.51333686254236</v>
      </c>
      <c r="CF148" s="51">
        <v>17.739428694097697</v>
      </c>
      <c r="CG148" s="51"/>
      <c r="CH148" s="51"/>
      <c r="CI148" s="51"/>
      <c r="CJ148" s="51"/>
      <c r="CK148" s="51"/>
      <c r="CL148" s="51"/>
      <c r="CM148" s="51"/>
      <c r="CN148" s="51"/>
      <c r="CO148" s="51"/>
      <c r="CP148" s="51">
        <v>8.6621446768190733</v>
      </c>
      <c r="CQ148" s="51">
        <v>9.1211376649576223</v>
      </c>
      <c r="CR148" s="51">
        <v>9.602760181098974</v>
      </c>
      <c r="CS148" s="51">
        <v>10.17840864366641</v>
      </c>
      <c r="CT148" s="51">
        <v>9.9613797067500247</v>
      </c>
      <c r="CU148" s="51">
        <v>10.406710660198291</v>
      </c>
      <c r="CV148" s="51">
        <v>10.9392238405488</v>
      </c>
      <c r="CW148" s="51">
        <v>10.883144143869117</v>
      </c>
      <c r="CX148" s="51">
        <v>10.853583129794639</v>
      </c>
      <c r="CY148" s="51">
        <v>11.226450481956547</v>
      </c>
      <c r="CZ148" s="51">
        <v>11.323648047514805</v>
      </c>
      <c r="DA148" s="51">
        <v>11.728744611284025</v>
      </c>
      <c r="DB148" s="51">
        <v>11.774685502043656</v>
      </c>
      <c r="DC148" s="51"/>
      <c r="DD148" s="51">
        <v>11.751256030865678</v>
      </c>
      <c r="DE148" s="51">
        <v>7.9797341928392855</v>
      </c>
      <c r="DF148" s="51"/>
      <c r="DG148" s="51"/>
      <c r="DH148" s="51">
        <v>12.235180623804579</v>
      </c>
      <c r="DI148" s="51">
        <v>12.314069436635101</v>
      </c>
      <c r="DJ148" s="51">
        <v>12.72077685603797</v>
      </c>
      <c r="DK148" s="51">
        <v>12.751162049775745</v>
      </c>
      <c r="DL148" s="51">
        <v>13.089378388530138</v>
      </c>
      <c r="DM148" s="51">
        <v>7.1050230629040056</v>
      </c>
      <c r="DN148" s="51">
        <v>7.3514387937291472</v>
      </c>
      <c r="DO148" s="51">
        <v>7.1626454459005329</v>
      </c>
      <c r="DP148" s="51">
        <v>7.8052972118750503</v>
      </c>
      <c r="DQ148" s="51">
        <v>6.3964538460238414</v>
      </c>
      <c r="DR148" s="51">
        <v>12.140095573249408</v>
      </c>
      <c r="DS148" s="51">
        <v>12.30038201837586</v>
      </c>
      <c r="DT148" s="51"/>
      <c r="DU148" s="51"/>
      <c r="DV148" s="51">
        <v>6.92384589216796</v>
      </c>
      <c r="DW148" s="51"/>
      <c r="DX148" s="51"/>
      <c r="DY148" s="51">
        <v>4.7827104258011648</v>
      </c>
      <c r="DZ148" s="51">
        <v>6.8717197666371757</v>
      </c>
      <c r="EA148" s="51">
        <v>8.3848600942179203</v>
      </c>
      <c r="EB148" s="51">
        <v>8.0232577753924641</v>
      </c>
      <c r="EC148" s="51">
        <v>8.9591147942242948</v>
      </c>
      <c r="ED148" s="51">
        <v>8.7672122395357501</v>
      </c>
      <c r="EE148" s="51">
        <v>8.7856821100534486</v>
      </c>
      <c r="EF148" s="51">
        <v>9.4678765272819287</v>
      </c>
      <c r="EG148" s="51">
        <v>10.097076863073962</v>
      </c>
      <c r="EH148" s="51"/>
      <c r="EI148" s="51">
        <v>10.564399901687489</v>
      </c>
      <c r="EJ148" s="51">
        <v>10.594858204513915</v>
      </c>
      <c r="EK148" s="51"/>
      <c r="EL148" s="51">
        <v>9.8731881042451093</v>
      </c>
      <c r="EM148" s="51">
        <v>4.7800918915630621</v>
      </c>
      <c r="EN148" s="51">
        <v>6.608235193344874</v>
      </c>
      <c r="EO148" s="51">
        <v>9.4889009169730105</v>
      </c>
      <c r="EP148" s="51">
        <v>10.056492917780588</v>
      </c>
      <c r="EQ148" s="51">
        <v>10.610052394159348</v>
      </c>
      <c r="ER148" s="51">
        <v>4.7812553321808933</v>
      </c>
      <c r="ES148" s="51">
        <v>6.7234305943250963</v>
      </c>
      <c r="ET148" s="51">
        <v>9.525580797100865</v>
      </c>
      <c r="EU148" s="51">
        <v>10.083432224548337</v>
      </c>
      <c r="EV148" s="51">
        <v>10.625849531771577</v>
      </c>
      <c r="EW148" s="51">
        <v>4.7818280014196528</v>
      </c>
      <c r="EX148" s="51">
        <v>6.7551947404743418</v>
      </c>
      <c r="EY148" s="51">
        <v>9.5317019330366666</v>
      </c>
      <c r="EZ148" s="51">
        <v>10.159323164266215</v>
      </c>
      <c r="FA148" s="51">
        <v>10.107493776012918</v>
      </c>
      <c r="FB148" s="51">
        <v>4.7823691957333523</v>
      </c>
      <c r="FC148" s="51">
        <v>6.8476470539357237</v>
      </c>
      <c r="FD148" s="51">
        <v>9.6544311464866261</v>
      </c>
      <c r="FE148" s="51">
        <v>9.4765920909328205</v>
      </c>
      <c r="FF148" s="51">
        <v>10.092182788321244</v>
      </c>
      <c r="FG148" s="51">
        <v>4.782089736067741</v>
      </c>
      <c r="FH148" s="51">
        <v>6.9196442849699036</v>
      </c>
      <c r="FI148" s="51"/>
      <c r="FJ148" s="51">
        <v>9.4743719799755617</v>
      </c>
      <c r="FK148" s="51">
        <v>10.572860681455486</v>
      </c>
    </row>
    <row r="149" spans="3:167" x14ac:dyDescent="0.2">
      <c r="C149" s="10">
        <f t="shared" si="132"/>
        <v>4.6647777709978584</v>
      </c>
      <c r="D149" s="10">
        <f t="shared" si="133"/>
        <v>25.806548215489073</v>
      </c>
      <c r="E149" s="10" cm="1">
        <f t="array" ref="E149">gavg(AF149,EL149)</f>
        <v>13.776214227351723</v>
      </c>
      <c r="F149" s="10" cm="1">
        <f t="array" ref="F149">lnstdev(AF149,EL149)</f>
        <v>0.44312358309770139</v>
      </c>
      <c r="G149" s="10">
        <f t="shared" si="134"/>
        <v>73</v>
      </c>
      <c r="H149" s="10">
        <f t="shared" si="135"/>
        <v>4.6647777709978584</v>
      </c>
      <c r="I149" s="10">
        <f t="shared" si="136"/>
        <v>4.8440503741519176</v>
      </c>
      <c r="J149" s="10"/>
      <c r="K149" s="10"/>
      <c r="L149" s="10">
        <f t="shared" si="137"/>
        <v>4</v>
      </c>
      <c r="M149" s="10">
        <f t="shared" si="138"/>
        <v>6.8366471239240507</v>
      </c>
      <c r="N149" s="10">
        <f t="shared" si="139"/>
        <v>8.0001260489638799</v>
      </c>
      <c r="O149" s="10">
        <f t="shared" si="140"/>
        <v>10</v>
      </c>
      <c r="P149" s="10">
        <f t="shared" si="141"/>
        <v>17.787573537752653</v>
      </c>
      <c r="Q149" s="10">
        <f t="shared" si="142"/>
        <v>25.806548215489073</v>
      </c>
      <c r="R149" s="10">
        <f t="shared" si="143"/>
        <v>19</v>
      </c>
      <c r="S149" s="10">
        <f t="shared" si="144"/>
        <v>11.837475052884351</v>
      </c>
      <c r="T149" s="10">
        <f t="shared" si="145"/>
        <v>16.214175321094597</v>
      </c>
      <c r="U149" s="10">
        <f t="shared" si="146"/>
        <v>27</v>
      </c>
      <c r="V149" s="10">
        <f t="shared" si="123"/>
        <v>11.346499816806629</v>
      </c>
      <c r="W149" s="10">
        <f t="shared" si="124"/>
        <v>17.845372863615935</v>
      </c>
      <c r="X149" s="10">
        <f t="shared" si="125"/>
        <v>13</v>
      </c>
      <c r="Y149" s="10">
        <f t="shared" si="126"/>
        <v>14.851322094039464</v>
      </c>
      <c r="Z149" s="10">
        <f t="shared" si="127"/>
        <v>14.851322094039464</v>
      </c>
      <c r="AA149" s="10">
        <f t="shared" si="128"/>
        <v>1</v>
      </c>
      <c r="AB149" s="10">
        <f t="shared" si="129"/>
        <v>11.346499816806629</v>
      </c>
      <c r="AC149" s="10">
        <f t="shared" si="130"/>
        <v>17.845372863615935</v>
      </c>
      <c r="AD149" s="10">
        <f t="shared" si="131"/>
        <v>12</v>
      </c>
      <c r="AE149" s="49" t="s">
        <v>380</v>
      </c>
      <c r="AF149" s="51"/>
      <c r="AG149" s="51"/>
      <c r="AH149" s="51"/>
      <c r="AI149" s="51"/>
      <c r="AJ149" s="51"/>
      <c r="AK149" s="51"/>
      <c r="AL149" s="51">
        <v>4.8440503741519176</v>
      </c>
      <c r="AM149" s="51">
        <v>4.791884138400742</v>
      </c>
      <c r="AN149" s="51">
        <v>4.6647777709978584</v>
      </c>
      <c r="AO149" s="51">
        <v>4.7658815294446244</v>
      </c>
      <c r="AP149" s="51">
        <v>7.4862750713362507</v>
      </c>
      <c r="AQ149" s="51">
        <v>7.199321314218734</v>
      </c>
      <c r="AR149" s="51">
        <v>7.1661669845064857</v>
      </c>
      <c r="AS149" s="51">
        <v>6.941851615233424</v>
      </c>
      <c r="AT149" s="51">
        <v>6.8366471239240507</v>
      </c>
      <c r="AU149" s="51"/>
      <c r="AV149" s="51">
        <v>6.9425334791241005</v>
      </c>
      <c r="AW149" s="51"/>
      <c r="AX149" s="51"/>
      <c r="AY149" s="51"/>
      <c r="AZ149" s="51"/>
      <c r="BA149" s="51"/>
      <c r="BB149" s="51">
        <v>7.3422270338714926</v>
      </c>
      <c r="BC149" s="51"/>
      <c r="BD149" s="51"/>
      <c r="BE149" s="51"/>
      <c r="BF149" s="51"/>
      <c r="BG149" s="51"/>
      <c r="BH149" s="51"/>
      <c r="BI149" s="51">
        <v>8.0001260489638799</v>
      </c>
      <c r="BJ149" s="51">
        <v>7.295128822311888</v>
      </c>
      <c r="BK149" s="51">
        <v>7.1533452517383154</v>
      </c>
      <c r="BL149" s="51"/>
      <c r="BM149" s="51">
        <v>17.787573537752653</v>
      </c>
      <c r="BN149" s="51">
        <v>20.585513512522549</v>
      </c>
      <c r="BO149" s="51"/>
      <c r="BP149" s="51">
        <v>20.961126446729818</v>
      </c>
      <c r="BQ149" s="51">
        <v>21.460129155899306</v>
      </c>
      <c r="BR149" s="51">
        <v>21.486398892073368</v>
      </c>
      <c r="BS149" s="51">
        <v>21.960384924507999</v>
      </c>
      <c r="BT149" s="51">
        <v>22.173803446667694</v>
      </c>
      <c r="BU149" s="51">
        <v>22.732833387802184</v>
      </c>
      <c r="BV149" s="51">
        <v>22.986872895931338</v>
      </c>
      <c r="BW149" s="51">
        <v>23.708758888852099</v>
      </c>
      <c r="BX149" s="51">
        <v>24.089214766534656</v>
      </c>
      <c r="BY149" s="51">
        <v>24.927801386741923</v>
      </c>
      <c r="BZ149" s="51">
        <v>20.841629329770424</v>
      </c>
      <c r="CA149" s="51">
        <v>22.710183839945945</v>
      </c>
      <c r="CB149" s="51">
        <v>22.350115728148847</v>
      </c>
      <c r="CC149" s="51">
        <v>24.608718365812706</v>
      </c>
      <c r="CD149" s="51">
        <v>25.233806895238512</v>
      </c>
      <c r="CE149" s="51">
        <v>25.347843787126504</v>
      </c>
      <c r="CF149" s="51">
        <v>25.806548215489073</v>
      </c>
      <c r="CG149" s="51"/>
      <c r="CH149" s="51"/>
      <c r="CI149" s="51"/>
      <c r="CJ149" s="51"/>
      <c r="CK149" s="51"/>
      <c r="CL149" s="51"/>
      <c r="CM149" s="51"/>
      <c r="CN149" s="51"/>
      <c r="CO149" s="51"/>
      <c r="CP149" s="51">
        <v>12.767024772925922</v>
      </c>
      <c r="CQ149" s="51">
        <v>12.837903724254943</v>
      </c>
      <c r="CR149" s="51">
        <v>12.682924942473415</v>
      </c>
      <c r="CS149" s="51">
        <v>12.999709460597904</v>
      </c>
      <c r="CT149" s="51">
        <v>12.974121239459095</v>
      </c>
      <c r="CU149" s="51">
        <v>12.981563448569288</v>
      </c>
      <c r="CV149" s="51">
        <v>13.094094393985019</v>
      </c>
      <c r="CW149" s="51">
        <v>13.410900364691274</v>
      </c>
      <c r="CX149" s="51">
        <v>13.536770358769301</v>
      </c>
      <c r="CY149" s="51">
        <v>13.428230827247411</v>
      </c>
      <c r="CZ149" s="51">
        <v>13.762481807747751</v>
      </c>
      <c r="DA149" s="51">
        <v>13.949833526985993</v>
      </c>
      <c r="DB149" s="51">
        <v>14.625945389691916</v>
      </c>
      <c r="DC149" s="51"/>
      <c r="DD149" s="51">
        <v>14.537961998880871</v>
      </c>
      <c r="DE149" s="51">
        <v>12.439997448872333</v>
      </c>
      <c r="DF149" s="51"/>
      <c r="DG149" s="51"/>
      <c r="DH149" s="51">
        <v>13.983526920698761</v>
      </c>
      <c r="DI149" s="51">
        <v>14.543655933137034</v>
      </c>
      <c r="DJ149" s="51">
        <v>14.738529879293839</v>
      </c>
      <c r="DK149" s="51">
        <v>15.711601966623467</v>
      </c>
      <c r="DL149" s="51">
        <v>16.214175321094597</v>
      </c>
      <c r="DM149" s="51">
        <v>12.298677849811305</v>
      </c>
      <c r="DN149" s="51">
        <v>12.81493660974539</v>
      </c>
      <c r="DO149" s="51">
        <v>12.64372291657533</v>
      </c>
      <c r="DP149" s="51">
        <v>13.172039326499762</v>
      </c>
      <c r="DQ149" s="51">
        <v>12.84916058597984</v>
      </c>
      <c r="DR149" s="51">
        <v>11.837475052884351</v>
      </c>
      <c r="DS149" s="51">
        <v>12.811242497577851</v>
      </c>
      <c r="DT149" s="51"/>
      <c r="DU149" s="51"/>
      <c r="DV149" s="51">
        <v>14.851322094039464</v>
      </c>
      <c r="DW149" s="51"/>
      <c r="DX149" s="51"/>
      <c r="DY149" s="51">
        <v>11.346499816806629</v>
      </c>
      <c r="DZ149" s="51">
        <v>14.889280035267333</v>
      </c>
      <c r="EA149" s="51">
        <v>15.520937617494937</v>
      </c>
      <c r="EB149" s="51">
        <v>16.219996991808252</v>
      </c>
      <c r="EC149" s="51">
        <v>16.361293558794113</v>
      </c>
      <c r="ED149" s="51">
        <v>16.842984578536548</v>
      </c>
      <c r="EE149" s="51">
        <v>17.119942498366584</v>
      </c>
      <c r="EF149" s="51">
        <v>17.289079061088838</v>
      </c>
      <c r="EG149" s="51">
        <v>16.688297900055971</v>
      </c>
      <c r="EH149" s="51"/>
      <c r="EI149" s="51">
        <v>17.463048135058564</v>
      </c>
      <c r="EJ149" s="51">
        <v>17.845372863615935</v>
      </c>
      <c r="EK149" s="51"/>
      <c r="EL149" s="51">
        <v>16.745719819325281</v>
      </c>
      <c r="EM149" s="51">
        <v>11.482472795307672</v>
      </c>
      <c r="EN149" s="51">
        <v>14.955858612662908</v>
      </c>
      <c r="EO149" s="51">
        <v>16.833422173966198</v>
      </c>
      <c r="EP149" s="51">
        <v>17.257720173337397</v>
      </c>
      <c r="EQ149" s="51">
        <v>17.690463191625842</v>
      </c>
      <c r="ER149" s="51">
        <v>11.376192490349592</v>
      </c>
      <c r="ES149" s="51">
        <v>14.982897509047989</v>
      </c>
      <c r="ET149" s="51">
        <v>16.874849947004943</v>
      </c>
      <c r="EU149" s="51">
        <v>17.295939548407357</v>
      </c>
      <c r="EV149" s="51">
        <v>17.712223011500022</v>
      </c>
      <c r="EW149" s="51">
        <v>11.359035756663582</v>
      </c>
      <c r="EX149" s="51">
        <v>14.973941651014455</v>
      </c>
      <c r="EY149" s="51">
        <v>16.967803362560833</v>
      </c>
      <c r="EZ149" s="51">
        <v>17.42391416576401</v>
      </c>
      <c r="FA149" s="51">
        <v>18.242784301669687</v>
      </c>
      <c r="FB149" s="51">
        <v>11.351118031062732</v>
      </c>
      <c r="FC149" s="51">
        <v>14.90741159850935</v>
      </c>
      <c r="FD149" s="51">
        <v>17.048723048898381</v>
      </c>
      <c r="FE149" s="51">
        <v>17.666700519000234</v>
      </c>
      <c r="FF149" s="51">
        <v>18.227063906486979</v>
      </c>
      <c r="FG149" s="51">
        <v>11.355171693184772</v>
      </c>
      <c r="FH149" s="51">
        <v>14.854420534621191</v>
      </c>
      <c r="FI149" s="51"/>
      <c r="FJ149" s="51">
        <v>17.647234302972816</v>
      </c>
      <c r="FK149" s="51">
        <v>17.483591589447933</v>
      </c>
    </row>
    <row r="150" spans="3:167" x14ac:dyDescent="0.2">
      <c r="C150" s="10">
        <f t="shared" si="132"/>
        <v>0.35846785718577073</v>
      </c>
      <c r="D150" s="10">
        <f t="shared" si="133"/>
        <v>2.4759880626512967</v>
      </c>
      <c r="E150" s="10" cm="1">
        <f t="array" ref="E150">gavg(AF150,EL150)</f>
        <v>0.77359995935112202</v>
      </c>
      <c r="F150" s="10" cm="1">
        <f t="array" ref="F150">lnstdev(AF150,EL150)</f>
        <v>0.38247309777200372</v>
      </c>
      <c r="G150" s="10">
        <f t="shared" si="134"/>
        <v>73</v>
      </c>
      <c r="H150" s="10">
        <f t="shared" si="135"/>
        <v>0.62763328772271398</v>
      </c>
      <c r="I150" s="10">
        <f t="shared" si="136"/>
        <v>0.98912473972222004</v>
      </c>
      <c r="J150" s="10"/>
      <c r="K150" s="10"/>
      <c r="L150" s="10">
        <f t="shared" si="137"/>
        <v>4</v>
      </c>
      <c r="M150" s="10">
        <f t="shared" si="138"/>
        <v>0.49958403749002128</v>
      </c>
      <c r="N150" s="10">
        <f t="shared" si="139"/>
        <v>0.99727204166249694</v>
      </c>
      <c r="O150" s="10">
        <f t="shared" si="140"/>
        <v>10</v>
      </c>
      <c r="P150" s="10">
        <f t="shared" si="141"/>
        <v>0.35846785718577073</v>
      </c>
      <c r="Q150" s="10">
        <f t="shared" si="142"/>
        <v>1.0204810456648608</v>
      </c>
      <c r="R150" s="10">
        <f t="shared" si="143"/>
        <v>19</v>
      </c>
      <c r="S150" s="10">
        <f t="shared" si="144"/>
        <v>0.47390892172562593</v>
      </c>
      <c r="T150" s="10">
        <f t="shared" si="145"/>
        <v>1.5071289959058392</v>
      </c>
      <c r="U150" s="10">
        <f t="shared" si="146"/>
        <v>27</v>
      </c>
      <c r="V150" s="10">
        <f t="shared" si="123"/>
        <v>0.87372941125722092</v>
      </c>
      <c r="W150" s="10">
        <f t="shared" si="124"/>
        <v>2.4759880626512967</v>
      </c>
      <c r="X150" s="10">
        <f t="shared" si="125"/>
        <v>13</v>
      </c>
      <c r="Y150" s="10">
        <f t="shared" si="126"/>
        <v>1.6793268537194352</v>
      </c>
      <c r="Z150" s="10">
        <f t="shared" si="127"/>
        <v>1.6793268537194352</v>
      </c>
      <c r="AA150" s="10">
        <f t="shared" si="128"/>
        <v>1</v>
      </c>
      <c r="AB150" s="10">
        <f t="shared" si="129"/>
        <v>0.87372941125722092</v>
      </c>
      <c r="AC150" s="10">
        <f t="shared" si="130"/>
        <v>2.4759880626512967</v>
      </c>
      <c r="AD150" s="10">
        <f t="shared" si="131"/>
        <v>12</v>
      </c>
      <c r="AE150" s="49" t="s">
        <v>385</v>
      </c>
      <c r="AF150" s="51"/>
      <c r="AG150" s="51"/>
      <c r="AH150" s="51"/>
      <c r="AI150" s="51"/>
      <c r="AJ150" s="51"/>
      <c r="AK150" s="51"/>
      <c r="AL150" s="51">
        <v>0.97905277063444995</v>
      </c>
      <c r="AM150" s="51">
        <v>0.98912473972222004</v>
      </c>
      <c r="AN150" s="51">
        <v>0.80621205276431562</v>
      </c>
      <c r="AO150" s="51">
        <v>0.62763328772271398</v>
      </c>
      <c r="AP150" s="51">
        <v>0.87631783734472901</v>
      </c>
      <c r="AQ150" s="51">
        <v>0.80560945574392395</v>
      </c>
      <c r="AR150" s="51">
        <v>0.64814550605231636</v>
      </c>
      <c r="AS150" s="51">
        <v>0.67524874836408133</v>
      </c>
      <c r="AT150" s="51">
        <v>0.78848727296825472</v>
      </c>
      <c r="AU150" s="51"/>
      <c r="AV150" s="51">
        <v>0.49958403749002128</v>
      </c>
      <c r="AW150" s="51"/>
      <c r="AX150" s="51"/>
      <c r="AY150" s="51"/>
      <c r="AZ150" s="51"/>
      <c r="BA150" s="51"/>
      <c r="BB150" s="51">
        <v>0.51000192077064554</v>
      </c>
      <c r="BC150" s="51"/>
      <c r="BD150" s="51"/>
      <c r="BE150" s="51"/>
      <c r="BF150" s="51"/>
      <c r="BG150" s="51"/>
      <c r="BH150" s="51"/>
      <c r="BI150" s="51">
        <v>0.99727204166249694</v>
      </c>
      <c r="BJ150" s="51">
        <v>0.76217070013545218</v>
      </c>
      <c r="BK150" s="51">
        <v>0.86760675019815048</v>
      </c>
      <c r="BL150" s="51"/>
      <c r="BM150" s="51">
        <v>0.77422116917263983</v>
      </c>
      <c r="BN150" s="51">
        <v>0.59016632361904486</v>
      </c>
      <c r="BO150" s="51"/>
      <c r="BP150" s="51">
        <v>0.85743934986793546</v>
      </c>
      <c r="BQ150" s="51">
        <v>1.0204810456648608</v>
      </c>
      <c r="BR150" s="51">
        <v>0.70201893776694624</v>
      </c>
      <c r="BS150" s="51">
        <v>0.69179569652280615</v>
      </c>
      <c r="BT150" s="51">
        <v>0.76717020493220645</v>
      </c>
      <c r="BU150" s="51">
        <v>0.62866901464525393</v>
      </c>
      <c r="BV150" s="51">
        <v>0.61639752738269349</v>
      </c>
      <c r="BW150" s="51">
        <v>0.49254893745788653</v>
      </c>
      <c r="BX150" s="51">
        <v>0.49546119845519082</v>
      </c>
      <c r="BY150" s="51">
        <v>0.47067458356907066</v>
      </c>
      <c r="BZ150" s="51">
        <v>0.80807329886059032</v>
      </c>
      <c r="CA150" s="51">
        <v>0.64823458561971681</v>
      </c>
      <c r="CB150" s="51">
        <v>0.6231493981995343</v>
      </c>
      <c r="CC150" s="51">
        <v>0.44479715590343433</v>
      </c>
      <c r="CD150" s="51">
        <v>0.440958344704724</v>
      </c>
      <c r="CE150" s="51">
        <v>0.36886683147788096</v>
      </c>
      <c r="CF150" s="51">
        <v>0.35846785718577073</v>
      </c>
      <c r="CG150" s="51"/>
      <c r="CH150" s="51"/>
      <c r="CI150" s="51"/>
      <c r="CJ150" s="51"/>
      <c r="CK150" s="51"/>
      <c r="CL150" s="51"/>
      <c r="CM150" s="51"/>
      <c r="CN150" s="51"/>
      <c r="CO150" s="51"/>
      <c r="CP150" s="51">
        <v>0.83467375971461999</v>
      </c>
      <c r="CQ150" s="51">
        <v>0.85990146022435099</v>
      </c>
      <c r="CR150" s="51">
        <v>0.74574384205898769</v>
      </c>
      <c r="CS150" s="51">
        <v>0.84415369866484224</v>
      </c>
      <c r="CT150" s="51">
        <v>0.668709790275961</v>
      </c>
      <c r="CU150" s="51">
        <v>0.74409101804484246</v>
      </c>
      <c r="CV150" s="51">
        <v>0.56674936368566575</v>
      </c>
      <c r="CW150" s="51">
        <v>0.71126587016713649</v>
      </c>
      <c r="CX150" s="51">
        <v>0.79813258729547776</v>
      </c>
      <c r="CY150" s="51">
        <v>0.58983663695668875</v>
      </c>
      <c r="CZ150" s="51">
        <v>0.61516686568203693</v>
      </c>
      <c r="DA150" s="51">
        <v>0.60921594574688642</v>
      </c>
      <c r="DB150" s="51">
        <v>0.71778487227991616</v>
      </c>
      <c r="DC150" s="51"/>
      <c r="DD150" s="51">
        <v>0.5172107623462574</v>
      </c>
      <c r="DE150" s="51">
        <v>1.0854938601918953</v>
      </c>
      <c r="DF150" s="51"/>
      <c r="DG150" s="51"/>
      <c r="DH150" s="51">
        <v>0.60059140925656029</v>
      </c>
      <c r="DI150" s="51">
        <v>0.65025305431331359</v>
      </c>
      <c r="DJ150" s="51">
        <v>0.55624621124346307</v>
      </c>
      <c r="DK150" s="51">
        <v>0.536338314914243</v>
      </c>
      <c r="DL150" s="51">
        <v>0.47390892172562593</v>
      </c>
      <c r="DM150" s="51">
        <v>1.3523281756733823</v>
      </c>
      <c r="DN150" s="51">
        <v>1.1165296201436006</v>
      </c>
      <c r="DO150" s="51">
        <v>1.5071289959058392</v>
      </c>
      <c r="DP150" s="51">
        <v>1.2735797509229954</v>
      </c>
      <c r="DQ150" s="51">
        <v>1.1990876115460005</v>
      </c>
      <c r="DR150" s="51">
        <v>0.50439098332901788</v>
      </c>
      <c r="DS150" s="51">
        <v>0.49883970547904938</v>
      </c>
      <c r="DT150" s="51"/>
      <c r="DU150" s="51"/>
      <c r="DV150" s="51">
        <v>1.6793268537194352</v>
      </c>
      <c r="DW150" s="51"/>
      <c r="DX150" s="51"/>
      <c r="DY150" s="51">
        <v>2.4759880626512967</v>
      </c>
      <c r="DZ150" s="51">
        <v>1.4716427276153925</v>
      </c>
      <c r="EA150" s="51">
        <v>1.2824626399735555</v>
      </c>
      <c r="EB150" s="51">
        <v>1.5696165202822037</v>
      </c>
      <c r="EC150" s="51">
        <v>1.1129233443068218</v>
      </c>
      <c r="ED150" s="51">
        <v>1.4339329936858325</v>
      </c>
      <c r="EE150" s="51">
        <v>1.2549274258919521</v>
      </c>
      <c r="EF150" s="51">
        <v>0.93716892640857163</v>
      </c>
      <c r="EG150" s="51">
        <v>1.2136776351277596</v>
      </c>
      <c r="EH150" s="51"/>
      <c r="EI150" s="51">
        <v>0.87372941125722092</v>
      </c>
      <c r="EJ150" s="51">
        <v>0.95593970530718486</v>
      </c>
      <c r="EK150" s="51"/>
      <c r="EL150" s="51">
        <v>0.8860490955464787</v>
      </c>
      <c r="EM150" s="51">
        <v>0.30021408717371439</v>
      </c>
      <c r="EN150" s="51">
        <v>4.8018880878263427E-2</v>
      </c>
      <c r="EO150" s="51">
        <v>1.0868593147934225E-2</v>
      </c>
      <c r="EP150" s="51">
        <v>1.1029653724295463E-2</v>
      </c>
      <c r="EQ150" s="51">
        <v>1.2901585713747119E-2</v>
      </c>
      <c r="ER150" s="51">
        <v>0.29658149147475416</v>
      </c>
      <c r="ES150" s="51">
        <v>0.13341176218329426</v>
      </c>
      <c r="ET150" s="51">
        <v>8.7048150904794688E-2</v>
      </c>
      <c r="EU150" s="51">
        <v>7.5932535921541935E-2</v>
      </c>
      <c r="EV150" s="51">
        <v>5.7009596789880865E-2</v>
      </c>
      <c r="EW150" s="51">
        <v>0.37909481989644106</v>
      </c>
      <c r="EX150" s="51">
        <v>0.19765957935715731</v>
      </c>
      <c r="EY150" s="51">
        <v>0.18907026394099238</v>
      </c>
      <c r="EZ150" s="51">
        <v>0.18635676247571839</v>
      </c>
      <c r="FA150" s="51">
        <v>0.41860164707563918</v>
      </c>
      <c r="FB150" s="51">
        <v>0.43628333991670337</v>
      </c>
      <c r="FC150" s="51">
        <v>0.51704926814426377</v>
      </c>
      <c r="FD150" s="51">
        <v>0.42051429619739233</v>
      </c>
      <c r="FE150" s="51">
        <v>0.42431701044427345</v>
      </c>
      <c r="FF150" s="51">
        <v>0.41753732611330774</v>
      </c>
      <c r="FG150" s="51">
        <v>0.93677699981521623</v>
      </c>
      <c r="FH150" s="51">
        <v>0.97742758259540186</v>
      </c>
      <c r="FI150" s="51"/>
      <c r="FJ150" s="51">
        <v>0.55123372874763577</v>
      </c>
      <c r="FK150" s="51">
        <v>0.51906747855662139</v>
      </c>
    </row>
    <row r="151" spans="3:167" x14ac:dyDescent="0.2">
      <c r="C151" s="10">
        <f t="shared" si="132"/>
        <v>0.27286846231286266</v>
      </c>
      <c r="D151" s="10">
        <f t="shared" si="133"/>
        <v>0.96051020616855509</v>
      </c>
      <c r="E151" s="10" cm="1">
        <f t="array" ref="E151">gavg(AF151,EL151)</f>
        <v>0.47871044166024718</v>
      </c>
      <c r="F151" s="10" cm="1">
        <f t="array" ref="F151">lnstdev(AF151,EL151)</f>
        <v>0.26746290873345596</v>
      </c>
      <c r="G151" s="10">
        <f t="shared" si="134"/>
        <v>73</v>
      </c>
      <c r="H151" s="10">
        <f t="shared" si="135"/>
        <v>0.73730348938910895</v>
      </c>
      <c r="I151" s="10">
        <f t="shared" si="136"/>
        <v>0.96051020616855509</v>
      </c>
      <c r="J151" s="10"/>
      <c r="K151" s="10"/>
      <c r="L151" s="10">
        <f t="shared" si="137"/>
        <v>4</v>
      </c>
      <c r="M151" s="10">
        <f t="shared" si="138"/>
        <v>0.34550076794657769</v>
      </c>
      <c r="N151" s="10">
        <f t="shared" si="139"/>
        <v>0.73141561176094505</v>
      </c>
      <c r="O151" s="10">
        <f t="shared" si="140"/>
        <v>10</v>
      </c>
      <c r="P151" s="10">
        <f t="shared" si="141"/>
        <v>0.27286846231286266</v>
      </c>
      <c r="Q151" s="10">
        <f t="shared" si="142"/>
        <v>0.60238023629119408</v>
      </c>
      <c r="R151" s="10">
        <f t="shared" si="143"/>
        <v>19</v>
      </c>
      <c r="S151" s="10">
        <f t="shared" si="144"/>
        <v>0.34060846554689989</v>
      </c>
      <c r="T151" s="10">
        <f t="shared" si="145"/>
        <v>0.78886449621238175</v>
      </c>
      <c r="U151" s="10">
        <f t="shared" si="146"/>
        <v>27</v>
      </c>
      <c r="V151" s="10">
        <f t="shared" si="123"/>
        <v>0.42489299305482314</v>
      </c>
      <c r="W151" s="10">
        <f t="shared" si="124"/>
        <v>0.72803008306460459</v>
      </c>
      <c r="X151" s="10">
        <f t="shared" si="125"/>
        <v>13</v>
      </c>
      <c r="Y151" s="10">
        <f t="shared" si="126"/>
        <v>0.57798122221514148</v>
      </c>
      <c r="Z151" s="10">
        <f t="shared" si="127"/>
        <v>0.57798122221514148</v>
      </c>
      <c r="AA151" s="10">
        <f t="shared" si="128"/>
        <v>1</v>
      </c>
      <c r="AB151" s="10">
        <f t="shared" si="129"/>
        <v>0.42489299305482314</v>
      </c>
      <c r="AC151" s="10">
        <f t="shared" si="130"/>
        <v>0.72803008306460459</v>
      </c>
      <c r="AD151" s="10">
        <f t="shared" si="131"/>
        <v>12</v>
      </c>
      <c r="AE151" s="49" t="s">
        <v>386</v>
      </c>
      <c r="AF151" s="51"/>
      <c r="AG151" s="51"/>
      <c r="AH151" s="51"/>
      <c r="AI151" s="51"/>
      <c r="AJ151" s="51"/>
      <c r="AK151" s="51"/>
      <c r="AL151" s="51">
        <v>0.96051020616855509</v>
      </c>
      <c r="AM151" s="51">
        <v>0.89328692887640948</v>
      </c>
      <c r="AN151" s="51">
        <v>0.73730348938910895</v>
      </c>
      <c r="AO151" s="51">
        <v>0.75807669824813051</v>
      </c>
      <c r="AP151" s="51">
        <v>0.73141561176094505</v>
      </c>
      <c r="AQ151" s="51">
        <v>0.71788470523545922</v>
      </c>
      <c r="AR151" s="51">
        <v>0.43239287968539247</v>
      </c>
      <c r="AS151" s="51">
        <v>0.45159130287372207</v>
      </c>
      <c r="AT151" s="51">
        <v>0.43929444743915902</v>
      </c>
      <c r="AU151" s="51"/>
      <c r="AV151" s="51">
        <v>0.42534901457962176</v>
      </c>
      <c r="AW151" s="51"/>
      <c r="AX151" s="51"/>
      <c r="AY151" s="51"/>
      <c r="AZ151" s="51"/>
      <c r="BA151" s="51"/>
      <c r="BB151" s="51">
        <v>0.34550076794657769</v>
      </c>
      <c r="BC151" s="51"/>
      <c r="BD151" s="51"/>
      <c r="BE151" s="51"/>
      <c r="BF151" s="51"/>
      <c r="BG151" s="51"/>
      <c r="BH151" s="51"/>
      <c r="BI151" s="51">
        <v>0.65575898142215971</v>
      </c>
      <c r="BJ151" s="51">
        <v>0.53004806572495888</v>
      </c>
      <c r="BK151" s="51">
        <v>0.72870206316578423</v>
      </c>
      <c r="BL151" s="51"/>
      <c r="BM151" s="51">
        <v>0.43307332350558148</v>
      </c>
      <c r="BN151" s="51">
        <v>0.44421974964248201</v>
      </c>
      <c r="BO151" s="51"/>
      <c r="BP151" s="51">
        <v>0.41572502886830015</v>
      </c>
      <c r="BQ151" s="51">
        <v>0.60238023629119408</v>
      </c>
      <c r="BR151" s="51">
        <v>0.38908689075377334</v>
      </c>
      <c r="BS151" s="51">
        <v>0.40982788562323119</v>
      </c>
      <c r="BT151" s="51">
        <v>0.52810729847649296</v>
      </c>
      <c r="BU151" s="51">
        <v>0.4249537008942611</v>
      </c>
      <c r="BV151" s="51">
        <v>0.39085141873462864</v>
      </c>
      <c r="BW151" s="51">
        <v>0.34366598852170394</v>
      </c>
      <c r="BX151" s="51">
        <v>0.32875513550559582</v>
      </c>
      <c r="BY151" s="51">
        <v>0.33973462870752885</v>
      </c>
      <c r="BZ151" s="51">
        <v>0.39178446550936857</v>
      </c>
      <c r="CA151" s="51">
        <v>0.44725826489042203</v>
      </c>
      <c r="CB151" s="51">
        <v>0.3778940840763097</v>
      </c>
      <c r="CC151" s="51">
        <v>0.35990061060215056</v>
      </c>
      <c r="CD151" s="51">
        <v>0.31649799753295565</v>
      </c>
      <c r="CE151" s="51">
        <v>0.29955112419994862</v>
      </c>
      <c r="CF151" s="51">
        <v>0.27286846231286266</v>
      </c>
      <c r="CG151" s="51"/>
      <c r="CH151" s="51"/>
      <c r="CI151" s="51"/>
      <c r="CJ151" s="51"/>
      <c r="CK151" s="51"/>
      <c r="CL151" s="51"/>
      <c r="CM151" s="51"/>
      <c r="CN151" s="51"/>
      <c r="CO151" s="51"/>
      <c r="CP151" s="51">
        <v>0.51891346367884195</v>
      </c>
      <c r="CQ151" s="51">
        <v>0.46306060032388846</v>
      </c>
      <c r="CR151" s="51">
        <v>0.34526968994641333</v>
      </c>
      <c r="CS151" s="51">
        <v>0.54013495307668713</v>
      </c>
      <c r="CT151" s="51">
        <v>0.42213600251593747</v>
      </c>
      <c r="CU151" s="51">
        <v>0.37608765022695956</v>
      </c>
      <c r="CV151" s="51">
        <v>0.34116363362407875</v>
      </c>
      <c r="CW151" s="51">
        <v>0.48743571974594485</v>
      </c>
      <c r="CX151" s="51">
        <v>0.58795761461396057</v>
      </c>
      <c r="CY151" s="51">
        <v>0.40867685095213618</v>
      </c>
      <c r="CZ151" s="51">
        <v>0.47249463407075748</v>
      </c>
      <c r="DA151" s="51">
        <v>0.45375798698388359</v>
      </c>
      <c r="DB151" s="51">
        <v>0.42399483797487281</v>
      </c>
      <c r="DC151" s="51"/>
      <c r="DD151" s="51">
        <v>0.36107275058343469</v>
      </c>
      <c r="DE151" s="51">
        <v>0.50811105689865776</v>
      </c>
      <c r="DF151" s="51"/>
      <c r="DG151" s="51"/>
      <c r="DH151" s="51">
        <v>0.46389082099154305</v>
      </c>
      <c r="DI151" s="51">
        <v>0.40069844265750926</v>
      </c>
      <c r="DJ151" s="51">
        <v>0.47944499133554747</v>
      </c>
      <c r="DK151" s="51">
        <v>0.37951966649310409</v>
      </c>
      <c r="DL151" s="51">
        <v>0.34060846554689989</v>
      </c>
      <c r="DM151" s="51">
        <v>0.78886449621238175</v>
      </c>
      <c r="DN151" s="51">
        <v>0.59347651951049629</v>
      </c>
      <c r="DO151" s="51">
        <v>0.59780290129310854</v>
      </c>
      <c r="DP151" s="51">
        <v>0.52707866116379332</v>
      </c>
      <c r="DQ151" s="51">
        <v>0.49851693000799374</v>
      </c>
      <c r="DR151" s="51">
        <v>0.5034501789689475</v>
      </c>
      <c r="DS151" s="51">
        <v>0.4576060337763907</v>
      </c>
      <c r="DT151" s="51"/>
      <c r="DU151" s="51"/>
      <c r="DV151" s="51">
        <v>0.57798122221514148</v>
      </c>
      <c r="DW151" s="51"/>
      <c r="DX151" s="51"/>
      <c r="DY151" s="51">
        <v>0.71155810687714749</v>
      </c>
      <c r="DZ151" s="51">
        <v>0.57573774264219468</v>
      </c>
      <c r="EA151" s="51">
        <v>0.60362793982400553</v>
      </c>
      <c r="EB151" s="51">
        <v>0.72803008306460459</v>
      </c>
      <c r="EC151" s="51">
        <v>0.56858178939027959</v>
      </c>
      <c r="ED151" s="51">
        <v>0.52489485474071218</v>
      </c>
      <c r="EE151" s="51">
        <v>0.55372673272934791</v>
      </c>
      <c r="EF151" s="51">
        <v>0.45475277126562902</v>
      </c>
      <c r="EG151" s="51">
        <v>0.57630869242039706</v>
      </c>
      <c r="EH151" s="51"/>
      <c r="EI151" s="51">
        <v>0.42489299305482314</v>
      </c>
      <c r="EJ151" s="51">
        <v>0.44299147981304643</v>
      </c>
      <c r="EK151" s="51"/>
      <c r="EL151" s="51">
        <v>0.43910162876115499</v>
      </c>
      <c r="EM151" s="51">
        <v>0.1006334015496566</v>
      </c>
      <c r="EN151" s="51">
        <v>1.9661360001716602E-2</v>
      </c>
      <c r="EO151" s="51">
        <v>3.4332635327660173E-3</v>
      </c>
      <c r="EP151" s="51">
        <v>3.3960410749625815E-3</v>
      </c>
      <c r="EQ151" s="51">
        <v>3.6846576196072852E-3</v>
      </c>
      <c r="ER151" s="51">
        <v>0.11224759737730128</v>
      </c>
      <c r="ES151" s="51">
        <v>1.3206452160899988E-2</v>
      </c>
      <c r="ET151" s="51">
        <v>9.6601624609391288E-3</v>
      </c>
      <c r="EU151" s="51">
        <v>8.4173106684886385E-3</v>
      </c>
      <c r="EV151" s="51">
        <v>6.0691023828467082E-3</v>
      </c>
      <c r="EW151" s="51">
        <v>0.11778646923949401</v>
      </c>
      <c r="EX151" s="51">
        <v>1.7680470926898017E-2</v>
      </c>
      <c r="EY151" s="51">
        <v>2.9611292207045878E-2</v>
      </c>
      <c r="EZ151" s="51">
        <v>3.2226629896230645E-2</v>
      </c>
      <c r="FA151" s="51">
        <v>0.10637140722850456</v>
      </c>
      <c r="FB151" s="51">
        <v>0.11222403063999545</v>
      </c>
      <c r="FC151" s="51">
        <v>7.3550412491355216E-2</v>
      </c>
      <c r="FD151" s="51">
        <v>9.022264831373486E-2</v>
      </c>
      <c r="FE151" s="51">
        <v>0.10308514318356636</v>
      </c>
      <c r="FF151" s="51">
        <v>0.12657756934922623</v>
      </c>
      <c r="FG151" s="51">
        <v>0.12791769391495053</v>
      </c>
      <c r="FH151" s="51">
        <v>0.2633681728953835</v>
      </c>
      <c r="FI151" s="51"/>
      <c r="FJ151" s="51">
        <v>0.16757682191530404</v>
      </c>
      <c r="FK151" s="51">
        <v>0.19669096736113875</v>
      </c>
    </row>
    <row r="152" spans="3:167" x14ac:dyDescent="0.2">
      <c r="C152" s="10">
        <f t="shared" ref="C152:C155" si="177">MIN(AF152:EL152)</f>
        <v>4.4851975314250794</v>
      </c>
      <c r="D152" s="10">
        <f t="shared" ref="D152:D155" si="178">MAX(AF152:EL152)</f>
        <v>17.739458977966521</v>
      </c>
      <c r="E152" s="10" cm="1">
        <f t="array" ref="E152">gavg(AF152,EL152)</f>
        <v>9.827806941545143</v>
      </c>
      <c r="F152" s="10" cm="1">
        <f t="array" ref="F152">lnstdev(AF152,EL152)</f>
        <v>0.37207479448086245</v>
      </c>
      <c r="G152" s="10">
        <f t="shared" ref="G152:G155" si="179">COUNT(AF152:EL152)</f>
        <v>73</v>
      </c>
      <c r="H152" s="10">
        <f t="shared" ref="H152:H155" si="180">MIN(AF152:AO152)</f>
        <v>5.2156311759758935</v>
      </c>
      <c r="I152" s="10">
        <f t="shared" ref="I152:I155" si="181">MAX(AF152:AO152)</f>
        <v>5.5655367507675786</v>
      </c>
      <c r="J152" s="10"/>
      <c r="K152" s="10"/>
      <c r="L152" s="10">
        <f t="shared" ref="L152:L155" si="182">COUNT(AF152:AO152)</f>
        <v>4</v>
      </c>
      <c r="M152" s="10">
        <f t="shared" ref="M152:M155" si="183">MIN(AP152:BL152)</f>
        <v>4.4851975314250794</v>
      </c>
      <c r="N152" s="10">
        <f t="shared" ref="N152:N155" si="184">MAX(AP152:BL152)</f>
        <v>8.1179945597004384</v>
      </c>
      <c r="O152" s="10">
        <f t="shared" ref="O152:O155" si="185">COUNT(AP152:BL152)</f>
        <v>10</v>
      </c>
      <c r="P152" s="10">
        <f t="shared" ref="P152:P155" si="186">MIN(BM152:CO152)</f>
        <v>12.376345501123536</v>
      </c>
      <c r="Q152" s="10">
        <f t="shared" ref="Q152:Q155" si="187">MAX(BM152:CO152)</f>
        <v>17.739458977966521</v>
      </c>
      <c r="R152" s="10">
        <f t="shared" ref="R152:R155" si="188">COUNT(BM152:CO152)</f>
        <v>19</v>
      </c>
      <c r="S152" s="10">
        <f t="shared" ref="S152:S155" si="189">MIN(CP152:DT152)</f>
        <v>6.5495683982105195</v>
      </c>
      <c r="T152" s="10">
        <f t="shared" ref="T152:T155" si="190">MAX(CP152:DT152)</f>
        <v>13.089640227698586</v>
      </c>
      <c r="U152" s="10">
        <f t="shared" ref="U152:U155" si="191">COUNT(CP152:DT152)</f>
        <v>27</v>
      </c>
      <c r="V152" s="10">
        <f t="shared" si="123"/>
        <v>5.0719789632506957</v>
      </c>
      <c r="W152" s="10">
        <f t="shared" si="124"/>
        <v>10.595501596692442</v>
      </c>
      <c r="X152" s="10">
        <f t="shared" si="125"/>
        <v>13</v>
      </c>
      <c r="Y152" s="10">
        <f t="shared" si="126"/>
        <v>6.9624699294950814</v>
      </c>
      <c r="Z152" s="10">
        <f t="shared" si="127"/>
        <v>6.9624699294950814</v>
      </c>
      <c r="AA152" s="10">
        <f t="shared" si="128"/>
        <v>1</v>
      </c>
      <c r="AB152" s="10">
        <f t="shared" si="129"/>
        <v>5.0719789632506957</v>
      </c>
      <c r="AC152" s="10">
        <f t="shared" si="130"/>
        <v>10.595501596692442</v>
      </c>
      <c r="AD152" s="10">
        <f t="shared" si="131"/>
        <v>12</v>
      </c>
      <c r="AE152" s="49" t="s">
        <v>639</v>
      </c>
      <c r="AF152" s="51"/>
      <c r="AG152" s="51"/>
      <c r="AH152" s="51"/>
      <c r="AI152" s="51"/>
      <c r="AJ152" s="51"/>
      <c r="AK152" s="51"/>
      <c r="AL152" s="51">
        <v>5.5655367507675786</v>
      </c>
      <c r="AM152" s="51">
        <v>5.3509533237525719</v>
      </c>
      <c r="AN152" s="51">
        <v>5.2757077818566449</v>
      </c>
      <c r="AO152" s="51">
        <v>5.2156311759758935</v>
      </c>
      <c r="AP152" s="51">
        <v>5.7664177230376348</v>
      </c>
      <c r="AQ152" s="51">
        <v>4.4851975314250794</v>
      </c>
      <c r="AR152" s="51">
        <v>6.8557048470839259</v>
      </c>
      <c r="AS152" s="51">
        <v>7.2794485390290742</v>
      </c>
      <c r="AT152" s="51">
        <v>6.8439883937292034</v>
      </c>
      <c r="AU152" s="51"/>
      <c r="AV152" s="51">
        <v>7.050968728361922</v>
      </c>
      <c r="AW152" s="51"/>
      <c r="AX152" s="51"/>
      <c r="AY152" s="51"/>
      <c r="AZ152" s="51"/>
      <c r="BA152" s="51"/>
      <c r="BB152" s="51">
        <v>8.1179945597004384</v>
      </c>
      <c r="BC152" s="51"/>
      <c r="BD152" s="51"/>
      <c r="BE152" s="51"/>
      <c r="BF152" s="51"/>
      <c r="BG152" s="51"/>
      <c r="BH152" s="51"/>
      <c r="BI152" s="51">
        <v>4.50313902736948</v>
      </c>
      <c r="BJ152" s="51">
        <v>6.4236945816413451</v>
      </c>
      <c r="BK152" s="51">
        <v>4.4881273601846132</v>
      </c>
      <c r="BL152" s="51"/>
      <c r="BM152" s="51">
        <v>13.072601042899789</v>
      </c>
      <c r="BN152" s="51">
        <v>15.157530580851523</v>
      </c>
      <c r="BO152" s="51"/>
      <c r="BP152" s="51">
        <v>12.376345501123536</v>
      </c>
      <c r="BQ152" s="51">
        <v>13.214616047483544</v>
      </c>
      <c r="BR152" s="51">
        <v>13.772607268172154</v>
      </c>
      <c r="BS152" s="51">
        <v>14.536957925077814</v>
      </c>
      <c r="BT152" s="51">
        <v>14.844179141035683</v>
      </c>
      <c r="BU152" s="51">
        <v>15.223419697534888</v>
      </c>
      <c r="BV152" s="51">
        <v>15.194081531778318</v>
      </c>
      <c r="BW152" s="51">
        <v>16.237151399832577</v>
      </c>
      <c r="BX152" s="51">
        <v>16.657693267506048</v>
      </c>
      <c r="BY152" s="51">
        <v>16.89986839491517</v>
      </c>
      <c r="BZ152" s="51">
        <v>12.385188500606146</v>
      </c>
      <c r="CA152" s="51">
        <v>15.214058152084935</v>
      </c>
      <c r="CB152" s="51">
        <v>15.16820519110761</v>
      </c>
      <c r="CC152" s="51">
        <v>16.872524674360619</v>
      </c>
      <c r="CD152" s="51">
        <v>17.182056228096219</v>
      </c>
      <c r="CE152" s="51">
        <v>17.513363689985471</v>
      </c>
      <c r="CF152" s="51">
        <v>17.739458977966521</v>
      </c>
      <c r="CG152" s="51"/>
      <c r="CH152" s="51"/>
      <c r="CI152" s="51"/>
      <c r="CJ152" s="51"/>
      <c r="CK152" s="51"/>
      <c r="CL152" s="51"/>
      <c r="CM152" s="51"/>
      <c r="CN152" s="51"/>
      <c r="CO152" s="51"/>
      <c r="CP152" s="51">
        <v>8.7011785300233306</v>
      </c>
      <c r="CQ152" s="51">
        <v>9.1304688062198771</v>
      </c>
      <c r="CR152" s="51">
        <v>9.6154845461158089</v>
      </c>
      <c r="CS152" s="51">
        <v>10.182637217217975</v>
      </c>
      <c r="CT152" s="51">
        <v>9.9647806458602002</v>
      </c>
      <c r="CU152" s="51">
        <v>10.411312677921844</v>
      </c>
      <c r="CV152" s="51">
        <v>10.941149339319377</v>
      </c>
      <c r="CW152" s="51">
        <v>10.884763876165859</v>
      </c>
      <c r="CX152" s="51">
        <v>10.854975121192627</v>
      </c>
      <c r="CY152" s="51">
        <v>11.228324476773109</v>
      </c>
      <c r="CZ152" s="51">
        <v>11.325230293381114</v>
      </c>
      <c r="DA152" s="51">
        <v>11.729548719343176</v>
      </c>
      <c r="DB152" s="51">
        <v>11.775399207462849</v>
      </c>
      <c r="DC152" s="51"/>
      <c r="DD152" s="51">
        <v>11.751973204219972</v>
      </c>
      <c r="DE152" s="51">
        <v>8.0090768436779989</v>
      </c>
      <c r="DF152" s="51"/>
      <c r="DG152" s="51"/>
      <c r="DH152" s="51">
        <v>12.235753343079175</v>
      </c>
      <c r="DI152" s="51">
        <v>12.314538083495439</v>
      </c>
      <c r="DJ152" s="51">
        <v>12.721369323125712</v>
      </c>
      <c r="DK152" s="51">
        <v>12.751646472080171</v>
      </c>
      <c r="DL152" s="51">
        <v>13.089640227698586</v>
      </c>
      <c r="DM152" s="51">
        <v>7.3497526909158379</v>
      </c>
      <c r="DN152" s="51">
        <v>7.2397408722544156</v>
      </c>
      <c r="DO152" s="51">
        <v>7.3868850708238805</v>
      </c>
      <c r="DP152" s="51">
        <v>7.827979544973088</v>
      </c>
      <c r="DQ152" s="51">
        <v>6.5495683982105195</v>
      </c>
      <c r="DR152" s="51">
        <v>12.141314710701105</v>
      </c>
      <c r="DS152" s="51">
        <v>12.30119727633833</v>
      </c>
      <c r="DT152" s="51"/>
      <c r="DU152" s="51"/>
      <c r="DV152" s="51">
        <v>6.9624699294950814</v>
      </c>
      <c r="DW152" s="51"/>
      <c r="DX152" s="51"/>
      <c r="DY152" s="51">
        <v>5.0719789632506957</v>
      </c>
      <c r="DZ152" s="51">
        <v>6.9102452443744466</v>
      </c>
      <c r="EA152" s="51">
        <v>8.3903870416651856</v>
      </c>
      <c r="EB152" s="51">
        <v>8.0278005816634224</v>
      </c>
      <c r="EC152" s="51">
        <v>8.9667775167826154</v>
      </c>
      <c r="ED152" s="51">
        <v>8.7727050049024129</v>
      </c>
      <c r="EE152" s="51">
        <v>8.7897126906922747</v>
      </c>
      <c r="EF152" s="51">
        <v>9.4694095153869835</v>
      </c>
      <c r="EG152" s="51">
        <v>10.100077875270504</v>
      </c>
      <c r="EH152" s="51"/>
      <c r="EI152" s="51">
        <v>10.565131931897854</v>
      </c>
      <c r="EJ152" s="51">
        <v>10.595501596692442</v>
      </c>
      <c r="EK152" s="51"/>
      <c r="EL152" s="51">
        <v>9.8755691021050538</v>
      </c>
      <c r="EM152" s="51">
        <v>5.025107801084407</v>
      </c>
      <c r="EN152" s="51">
        <v>6.6461770752860323</v>
      </c>
      <c r="EO152" s="51">
        <v>9.4907378534248092</v>
      </c>
      <c r="EP152" s="51">
        <v>10.0587478509558</v>
      </c>
      <c r="EQ152" s="51">
        <v>10.610765589974394</v>
      </c>
      <c r="ER152" s="51">
        <v>5.060535347042971</v>
      </c>
      <c r="ES152" s="51">
        <v>6.76161986316162</v>
      </c>
      <c r="ET152" s="51">
        <v>9.5274070285702042</v>
      </c>
      <c r="EU152" s="51">
        <v>10.085698581112911</v>
      </c>
      <c r="EV152" s="51">
        <v>10.626560741893796</v>
      </c>
      <c r="EW152" s="51">
        <v>5.0670285798550534</v>
      </c>
      <c r="EX152" s="51">
        <v>6.7934540035912958</v>
      </c>
      <c r="EY152" s="51">
        <v>9.5334999664913234</v>
      </c>
      <c r="EZ152" s="51">
        <v>10.161649345438798</v>
      </c>
      <c r="FA152" s="51">
        <v>10.109053462847761</v>
      </c>
      <c r="FB152" s="51">
        <v>5.0702094924354117</v>
      </c>
      <c r="FC152" s="51">
        <v>6.886107193797586</v>
      </c>
      <c r="FD152" s="51">
        <v>9.6562663427336037</v>
      </c>
      <c r="FE152" s="51">
        <v>9.4777754518120929</v>
      </c>
      <c r="FF152" s="51">
        <v>10.093737645233759</v>
      </c>
      <c r="FG152" s="51">
        <v>5.0685859847165222</v>
      </c>
      <c r="FH152" s="51">
        <v>6.9582596200894509</v>
      </c>
      <c r="FI152" s="51"/>
      <c r="FJ152" s="51">
        <v>9.4755579827554239</v>
      </c>
      <c r="FK152" s="51">
        <v>10.573590827623306</v>
      </c>
    </row>
    <row r="153" spans="3:167" x14ac:dyDescent="0.2">
      <c r="C153" s="10">
        <f t="shared" si="177"/>
        <v>4.6664856355694466</v>
      </c>
      <c r="D153" s="10">
        <f t="shared" si="178"/>
        <v>25.806689766193237</v>
      </c>
      <c r="E153" s="10" cm="1">
        <f t="array" ref="E153">gavg(AF153,EL153)</f>
        <v>13.779479303685537</v>
      </c>
      <c r="F153" s="10" cm="1">
        <f t="array" ref="F153">lnstdev(AF153,EL153)</f>
        <v>0.44307807500690594</v>
      </c>
      <c r="G153" s="10">
        <f t="shared" si="179"/>
        <v>73</v>
      </c>
      <c r="H153" s="10">
        <f t="shared" si="180"/>
        <v>4.6664856355694466</v>
      </c>
      <c r="I153" s="10">
        <f t="shared" si="181"/>
        <v>4.8447736088201099</v>
      </c>
      <c r="J153" s="10"/>
      <c r="K153" s="10"/>
      <c r="L153" s="10">
        <f t="shared" si="182"/>
        <v>4</v>
      </c>
      <c r="M153" s="10">
        <f t="shared" si="183"/>
        <v>6.8367934820104876</v>
      </c>
      <c r="N153" s="10">
        <f t="shared" si="184"/>
        <v>8.0007525222753557</v>
      </c>
      <c r="O153" s="10">
        <f t="shared" si="185"/>
        <v>10</v>
      </c>
      <c r="P153" s="10">
        <f t="shared" si="186"/>
        <v>17.787586662879608</v>
      </c>
      <c r="Q153" s="10">
        <f t="shared" si="187"/>
        <v>25.806689766193237</v>
      </c>
      <c r="R153" s="10">
        <f t="shared" si="188"/>
        <v>19</v>
      </c>
      <c r="S153" s="10">
        <f t="shared" si="189"/>
        <v>11.837582209582862</v>
      </c>
      <c r="T153" s="10">
        <f t="shared" si="190"/>
        <v>16.214264290217141</v>
      </c>
      <c r="U153" s="10">
        <f t="shared" si="191"/>
        <v>27</v>
      </c>
      <c r="V153" s="10">
        <f t="shared" si="123"/>
        <v>11.375597399747742</v>
      </c>
      <c r="W153" s="10">
        <f t="shared" si="124"/>
        <v>17.852427003596237</v>
      </c>
      <c r="X153" s="10">
        <f t="shared" si="125"/>
        <v>13</v>
      </c>
      <c r="Y153" s="10">
        <f t="shared" si="126"/>
        <v>14.868012795990262</v>
      </c>
      <c r="Z153" s="10">
        <f t="shared" si="127"/>
        <v>14.868012795990262</v>
      </c>
      <c r="AA153" s="10">
        <f t="shared" si="128"/>
        <v>1</v>
      </c>
      <c r="AB153" s="10">
        <f t="shared" si="129"/>
        <v>11.375597399747742</v>
      </c>
      <c r="AC153" s="10">
        <f t="shared" si="130"/>
        <v>17.852427003596237</v>
      </c>
      <c r="AD153" s="10">
        <f t="shared" si="131"/>
        <v>12</v>
      </c>
      <c r="AE153" s="49" t="s">
        <v>640</v>
      </c>
      <c r="AF153" s="51"/>
      <c r="AG153" s="51"/>
      <c r="AH153" s="51"/>
      <c r="AI153" s="51"/>
      <c r="AJ153" s="51"/>
      <c r="AK153" s="51"/>
      <c r="AL153" s="51">
        <v>4.8447736088201099</v>
      </c>
      <c r="AM153" s="51">
        <v>4.791884138400742</v>
      </c>
      <c r="AN153" s="51">
        <v>4.6664856355694466</v>
      </c>
      <c r="AO153" s="51">
        <v>4.7679749339678414</v>
      </c>
      <c r="AP153" s="51">
        <v>7.4920627990420128</v>
      </c>
      <c r="AQ153" s="51">
        <v>7.199807047622806</v>
      </c>
      <c r="AR153" s="51">
        <v>7.1664542140716705</v>
      </c>
      <c r="AS153" s="51">
        <v>6.9421630817081237</v>
      </c>
      <c r="AT153" s="51">
        <v>6.8367934820104876</v>
      </c>
      <c r="AU153" s="51"/>
      <c r="AV153" s="51">
        <v>6.9430315969474385</v>
      </c>
      <c r="AW153" s="51"/>
      <c r="AX153" s="51"/>
      <c r="AY153" s="51"/>
      <c r="AZ153" s="51"/>
      <c r="BA153" s="51"/>
      <c r="BB153" s="51">
        <v>7.3425341608391372</v>
      </c>
      <c r="BC153" s="51"/>
      <c r="BD153" s="51"/>
      <c r="BE153" s="51"/>
      <c r="BF153" s="51"/>
      <c r="BG153" s="51"/>
      <c r="BH153" s="51"/>
      <c r="BI153" s="51">
        <v>8.0007525222753557</v>
      </c>
      <c r="BJ153" s="51">
        <v>7.2951633873631501</v>
      </c>
      <c r="BK153" s="51">
        <v>7.1533978261003623</v>
      </c>
      <c r="BL153" s="51"/>
      <c r="BM153" s="51">
        <v>17.787586662879608</v>
      </c>
      <c r="BN153" s="51">
        <v>20.58567667656617</v>
      </c>
      <c r="BO153" s="51"/>
      <c r="BP153" s="51">
        <v>20.961146907412839</v>
      </c>
      <c r="BQ153" s="51">
        <v>21.460145044442324</v>
      </c>
      <c r="BR153" s="51">
        <v>21.486506355288476</v>
      </c>
      <c r="BS153" s="51">
        <v>21.960534135581881</v>
      </c>
      <c r="BT153" s="51">
        <v>22.17396733304604</v>
      </c>
      <c r="BU153" s="51">
        <v>22.733004986086115</v>
      </c>
      <c r="BV153" s="51">
        <v>22.987021137858527</v>
      </c>
      <c r="BW153" s="51">
        <v>23.708907665242911</v>
      </c>
      <c r="BX153" s="51">
        <v>24.089350047570161</v>
      </c>
      <c r="BY153" s="51">
        <v>24.927950519897777</v>
      </c>
      <c r="BZ153" s="51">
        <v>20.8416465060224</v>
      </c>
      <c r="CA153" s="51">
        <v>22.710364684296074</v>
      </c>
      <c r="CB153" s="51">
        <v>22.350269595250165</v>
      </c>
      <c r="CC153" s="51">
        <v>24.608857530718346</v>
      </c>
      <c r="CD153" s="51">
        <v>25.23395566569582</v>
      </c>
      <c r="CE153" s="51">
        <v>25.347991324293513</v>
      </c>
      <c r="CF153" s="51">
        <v>25.806689766193237</v>
      </c>
      <c r="CG153" s="51"/>
      <c r="CH153" s="51"/>
      <c r="CI153" s="51"/>
      <c r="CJ153" s="51"/>
      <c r="CK153" s="51"/>
      <c r="CL153" s="51"/>
      <c r="CM153" s="51"/>
      <c r="CN153" s="51"/>
      <c r="CO153" s="51"/>
      <c r="CP153" s="51">
        <v>12.77140782555599</v>
      </c>
      <c r="CQ153" s="51">
        <v>12.842787094651865</v>
      </c>
      <c r="CR153" s="51">
        <v>12.686789849097686</v>
      </c>
      <c r="CS153" s="51">
        <v>13.004324780433672</v>
      </c>
      <c r="CT153" s="51">
        <v>12.978285425847202</v>
      </c>
      <c r="CU153" s="51">
        <v>12.985233422714652</v>
      </c>
      <c r="CV153" s="51">
        <v>13.09771981630762</v>
      </c>
      <c r="CW153" s="51">
        <v>13.414809672129698</v>
      </c>
      <c r="CX153" s="51">
        <v>13.537047781708216</v>
      </c>
      <c r="CY153" s="51">
        <v>13.431743786662755</v>
      </c>
      <c r="CZ153" s="51">
        <v>13.763918958624854</v>
      </c>
      <c r="DA153" s="51">
        <v>13.950343550721056</v>
      </c>
      <c r="DB153" s="51">
        <v>14.626044778318056</v>
      </c>
      <c r="DC153" s="51"/>
      <c r="DD153" s="51">
        <v>14.538052950773144</v>
      </c>
      <c r="DE153" s="51">
        <v>12.444113148114166</v>
      </c>
      <c r="DF153" s="51"/>
      <c r="DG153" s="51"/>
      <c r="DH153" s="51">
        <v>13.983635174432033</v>
      </c>
      <c r="DI153" s="51">
        <v>14.54387716402031</v>
      </c>
      <c r="DJ153" s="51">
        <v>14.738799117962676</v>
      </c>
      <c r="DK153" s="51">
        <v>15.711696283191481</v>
      </c>
      <c r="DL153" s="51">
        <v>16.214264290217141</v>
      </c>
      <c r="DM153" s="51">
        <v>12.304675572976727</v>
      </c>
      <c r="DN153" s="51">
        <v>12.81764039242711</v>
      </c>
      <c r="DO153" s="51">
        <v>12.652240408072629</v>
      </c>
      <c r="DP153" s="51">
        <v>13.17832795940379</v>
      </c>
      <c r="DQ153" s="51">
        <v>12.854618215482736</v>
      </c>
      <c r="DR153" s="51">
        <v>11.837582209582862</v>
      </c>
      <c r="DS153" s="51">
        <v>12.811432443397646</v>
      </c>
      <c r="DT153" s="51"/>
      <c r="DU153" s="51"/>
      <c r="DV153" s="51">
        <v>14.868012795990262</v>
      </c>
      <c r="DW153" s="51"/>
      <c r="DX153" s="51"/>
      <c r="DY153" s="51">
        <v>11.375597399747742</v>
      </c>
      <c r="DZ153" s="51">
        <v>14.901354223829493</v>
      </c>
      <c r="EA153" s="51">
        <v>15.530770524118239</v>
      </c>
      <c r="EB153" s="51">
        <v>16.231253728433572</v>
      </c>
      <c r="EC153" s="51">
        <v>16.369904574885044</v>
      </c>
      <c r="ED153" s="51">
        <v>16.851555529127022</v>
      </c>
      <c r="EE153" s="51">
        <v>17.128940503907721</v>
      </c>
      <c r="EF153" s="51">
        <v>17.296632722829017</v>
      </c>
      <c r="EG153" s="51">
        <v>16.695946616650922</v>
      </c>
      <c r="EH153" s="51"/>
      <c r="EI153" s="51">
        <v>17.469474481332586</v>
      </c>
      <c r="EJ153" s="51">
        <v>17.852427003596237</v>
      </c>
      <c r="EK153" s="51"/>
      <c r="EL153" s="51">
        <v>16.752107595186427</v>
      </c>
      <c r="EM153" s="51">
        <v>11.497675260346114</v>
      </c>
      <c r="EN153" s="51">
        <v>14.965200774387592</v>
      </c>
      <c r="EO153" s="51">
        <v>16.839628127345101</v>
      </c>
      <c r="EP153" s="51">
        <v>17.263133505465458</v>
      </c>
      <c r="EQ153" s="51">
        <v>17.69578860132135</v>
      </c>
      <c r="ER153" s="51">
        <v>11.382654287392894</v>
      </c>
      <c r="ES153" s="51">
        <v>14.992049719060551</v>
      </c>
      <c r="ET153" s="51">
        <v>16.881030018630813</v>
      </c>
      <c r="EU153" s="51">
        <v>17.301345686129224</v>
      </c>
      <c r="EV153" s="51">
        <v>17.717506351093917</v>
      </c>
      <c r="EW153" s="51">
        <v>11.36587817483346</v>
      </c>
      <c r="EX153" s="51">
        <v>14.983294723321762</v>
      </c>
      <c r="EY153" s="51">
        <v>16.975057271607238</v>
      </c>
      <c r="EZ153" s="51">
        <v>17.430414227889468</v>
      </c>
      <c r="FA153" s="51">
        <v>18.250932668264017</v>
      </c>
      <c r="FB153" s="51">
        <v>11.353313563982731</v>
      </c>
      <c r="FC153" s="51">
        <v>14.919743115631377</v>
      </c>
      <c r="FD153" s="51">
        <v>17.056845468707568</v>
      </c>
      <c r="FE153" s="51">
        <v>17.674531057859237</v>
      </c>
      <c r="FF153" s="51">
        <v>18.235057602741488</v>
      </c>
      <c r="FG153" s="51">
        <v>11.37100464306533</v>
      </c>
      <c r="FH153" s="51">
        <v>14.869381116999216</v>
      </c>
      <c r="FI153" s="51"/>
      <c r="FJ153" s="51">
        <v>17.654985361320723</v>
      </c>
      <c r="FK153" s="51">
        <v>17.490144686511098</v>
      </c>
    </row>
    <row r="154" spans="3:167" x14ac:dyDescent="0.2">
      <c r="C154" s="10">
        <f t="shared" si="177"/>
        <v>0.35846724522834983</v>
      </c>
      <c r="D154" s="10">
        <f t="shared" si="178"/>
        <v>2.334775835468359</v>
      </c>
      <c r="E154" s="10" cm="1">
        <f t="array" ref="E154">gavg(AF154,EL154)</f>
        <v>0.77973133637126624</v>
      </c>
      <c r="F154" s="10" cm="1">
        <f t="array" ref="F154">lnstdev(AF154,EL154)</f>
        <v>0.38120150645045142</v>
      </c>
      <c r="G154" s="10">
        <f t="shared" si="179"/>
        <v>73</v>
      </c>
      <c r="H154" s="10">
        <f t="shared" si="180"/>
        <v>0.82404511814224779</v>
      </c>
      <c r="I154" s="10">
        <f t="shared" si="181"/>
        <v>1.14544747860407</v>
      </c>
      <c r="J154" s="10" cm="1">
        <f t="array" ref="J154">gavg(AF154,AO154)</f>
        <v>1.0065365509671087</v>
      </c>
      <c r="K154" s="10" cm="1">
        <f t="array" ref="K154">lnstdev(AF154,AO154)</f>
        <v>0.14429207649510803</v>
      </c>
      <c r="L154" s="10">
        <f t="shared" si="182"/>
        <v>4</v>
      </c>
      <c r="M154" s="10">
        <f t="shared" si="183"/>
        <v>0.49958403749002128</v>
      </c>
      <c r="N154" s="10">
        <f t="shared" si="184"/>
        <v>0.99727204166249694</v>
      </c>
      <c r="O154" s="10">
        <f t="shared" si="185"/>
        <v>10</v>
      </c>
      <c r="P154" s="10">
        <f t="shared" si="186"/>
        <v>0.35846724522834983</v>
      </c>
      <c r="Q154" s="10">
        <f t="shared" si="187"/>
        <v>1.0204586424689914</v>
      </c>
      <c r="R154" s="10">
        <f t="shared" si="188"/>
        <v>19</v>
      </c>
      <c r="S154" s="10">
        <f t="shared" si="189"/>
        <v>0.47389944186859195</v>
      </c>
      <c r="T154" s="10">
        <f t="shared" si="190"/>
        <v>1.4613779063040981</v>
      </c>
      <c r="U154" s="10">
        <f t="shared" si="191"/>
        <v>27</v>
      </c>
      <c r="V154" s="10">
        <f t="shared" si="123"/>
        <v>0.87366887284380146</v>
      </c>
      <c r="W154" s="10">
        <f t="shared" si="124"/>
        <v>2.334775835468359</v>
      </c>
      <c r="X154" s="10">
        <f t="shared" si="125"/>
        <v>13</v>
      </c>
      <c r="Y154" s="10">
        <f t="shared" si="126"/>
        <v>1.6700108518207812</v>
      </c>
      <c r="Z154" s="10">
        <f t="shared" si="127"/>
        <v>1.6700108518207812</v>
      </c>
      <c r="AA154" s="10">
        <f t="shared" si="128"/>
        <v>1</v>
      </c>
      <c r="AB154" s="10">
        <f t="shared" si="129"/>
        <v>0.87366887284380146</v>
      </c>
      <c r="AC154" s="10">
        <f t="shared" si="130"/>
        <v>2.334775835468359</v>
      </c>
      <c r="AD154" s="10">
        <f t="shared" si="131"/>
        <v>12</v>
      </c>
      <c r="AE154" s="49" t="s">
        <v>644</v>
      </c>
      <c r="AF154" s="51"/>
      <c r="AG154" s="51"/>
      <c r="AH154" s="51"/>
      <c r="AI154" s="51"/>
      <c r="AJ154" s="51"/>
      <c r="AK154" s="51"/>
      <c r="AL154" s="51">
        <v>1.0855162560511404</v>
      </c>
      <c r="AM154" s="51">
        <v>1.14544747860407</v>
      </c>
      <c r="AN154" s="51">
        <v>1.0017415742345894</v>
      </c>
      <c r="AO154" s="51">
        <v>0.82404511814224779</v>
      </c>
      <c r="AP154" s="51">
        <v>0.87631783734472901</v>
      </c>
      <c r="AQ154" s="51">
        <v>0.80560945574392395</v>
      </c>
      <c r="AR154" s="51">
        <v>0.64814550605231636</v>
      </c>
      <c r="AS154" s="51">
        <v>0.67524874836408133</v>
      </c>
      <c r="AT154" s="51">
        <v>0.78848727296825472</v>
      </c>
      <c r="AU154" s="51"/>
      <c r="AV154" s="51">
        <v>0.49958403749002128</v>
      </c>
      <c r="AW154" s="51"/>
      <c r="AX154" s="51"/>
      <c r="AY154" s="51"/>
      <c r="AZ154" s="51"/>
      <c r="BA154" s="51"/>
      <c r="BB154" s="51">
        <v>0.51000192077064554</v>
      </c>
      <c r="BC154" s="51"/>
      <c r="BD154" s="51"/>
      <c r="BE154" s="51"/>
      <c r="BF154" s="51"/>
      <c r="BG154" s="51"/>
      <c r="BH154" s="51"/>
      <c r="BI154" s="51">
        <v>0.99727204166249694</v>
      </c>
      <c r="BJ154" s="51">
        <v>0.76217070013545218</v>
      </c>
      <c r="BK154" s="51">
        <v>0.86760675019815048</v>
      </c>
      <c r="BL154" s="51"/>
      <c r="BM154" s="51">
        <v>0.77417421980376955</v>
      </c>
      <c r="BN154" s="51">
        <v>0.5901605928422099</v>
      </c>
      <c r="BO154" s="51"/>
      <c r="BP154" s="51">
        <v>0.85740808268064239</v>
      </c>
      <c r="BQ154" s="51">
        <v>1.0204586424689914</v>
      </c>
      <c r="BR154" s="51">
        <v>0.70200905169861538</v>
      </c>
      <c r="BS154" s="51">
        <v>0.69178881697215244</v>
      </c>
      <c r="BT154" s="51">
        <v>0.767161965334892</v>
      </c>
      <c r="BU154" s="51">
        <v>0.62866376501188814</v>
      </c>
      <c r="BV154" s="51">
        <v>0.61639444877601568</v>
      </c>
      <c r="BW154" s="51">
        <v>0.49254705091810225</v>
      </c>
      <c r="BX154" s="51">
        <v>0.49546001361462411</v>
      </c>
      <c r="BY154" s="51">
        <v>0.47067361713208877</v>
      </c>
      <c r="BZ154" s="51">
        <v>0.80804549730660602</v>
      </c>
      <c r="CA154" s="51">
        <v>0.64822917642869915</v>
      </c>
      <c r="CB154" s="51">
        <v>0.62314391464127494</v>
      </c>
      <c r="CC154" s="51">
        <v>0.44479620816095361</v>
      </c>
      <c r="CD154" s="51">
        <v>0.44095733779991614</v>
      </c>
      <c r="CE154" s="51">
        <v>0.36886626643771436</v>
      </c>
      <c r="CF154" s="51">
        <v>0.35846724522834983</v>
      </c>
      <c r="CG154" s="51"/>
      <c r="CH154" s="51"/>
      <c r="CI154" s="51"/>
      <c r="CJ154" s="51"/>
      <c r="CK154" s="51"/>
      <c r="CL154" s="51"/>
      <c r="CM154" s="51"/>
      <c r="CN154" s="51"/>
      <c r="CO154" s="51"/>
      <c r="CP154" s="51">
        <v>0.83092937808887501</v>
      </c>
      <c r="CQ154" s="51">
        <v>0.85902265956610802</v>
      </c>
      <c r="CR154" s="51">
        <v>0.74475698416223735</v>
      </c>
      <c r="CS154" s="51">
        <v>0.8438031444884061</v>
      </c>
      <c r="CT154" s="51">
        <v>0.66848156234401435</v>
      </c>
      <c r="CU154" s="51">
        <v>0.74376211426883343</v>
      </c>
      <c r="CV154" s="51">
        <v>0.56664962323160939</v>
      </c>
      <c r="CW154" s="51">
        <v>0.71116002861516647</v>
      </c>
      <c r="CX154" s="51">
        <v>0.79803023849379329</v>
      </c>
      <c r="CY154" s="51">
        <v>0.58973819388064819</v>
      </c>
      <c r="CZ154" s="51">
        <v>0.6150809208310184</v>
      </c>
      <c r="DA154" s="51">
        <v>0.6091741815270123</v>
      </c>
      <c r="DB154" s="51">
        <v>0.71774136743187367</v>
      </c>
      <c r="DC154" s="51"/>
      <c r="DD154" s="51">
        <v>0.51717919915505006</v>
      </c>
      <c r="DE154" s="51">
        <v>1.0815169639841482</v>
      </c>
      <c r="DF154" s="51"/>
      <c r="DG154" s="51"/>
      <c r="DH154" s="51">
        <v>0.60056329735641056</v>
      </c>
      <c r="DI154" s="51">
        <v>0.65022830802967202</v>
      </c>
      <c r="DJ154" s="51">
        <v>0.55622030541803869</v>
      </c>
      <c r="DK154" s="51">
        <v>0.53631793995772015</v>
      </c>
      <c r="DL154" s="51">
        <v>0.47389944186859195</v>
      </c>
      <c r="DM154" s="51">
        <v>1.3072988004956949</v>
      </c>
      <c r="DN154" s="51">
        <v>1.1337559325262667</v>
      </c>
      <c r="DO154" s="51">
        <v>1.4613779063040981</v>
      </c>
      <c r="DP154" s="51">
        <v>1.2698894295608372</v>
      </c>
      <c r="DQ154" s="51">
        <v>1.1710555716447726</v>
      </c>
      <c r="DR154" s="51">
        <v>0.50434033626543984</v>
      </c>
      <c r="DS154" s="51">
        <v>0.49880664503519567</v>
      </c>
      <c r="DT154" s="51"/>
      <c r="DU154" s="51"/>
      <c r="DV154" s="51">
        <v>1.6700108518207812</v>
      </c>
      <c r="DW154" s="51"/>
      <c r="DX154" s="51"/>
      <c r="DY154" s="51">
        <v>2.334775835468359</v>
      </c>
      <c r="DZ154" s="51">
        <v>1.4634381361522866</v>
      </c>
      <c r="EA154" s="51">
        <v>1.2816178513387741</v>
      </c>
      <c r="EB154" s="51">
        <v>1.5687282989445157</v>
      </c>
      <c r="EC154" s="51">
        <v>1.1119722754529175</v>
      </c>
      <c r="ED154" s="51">
        <v>1.4330351796727736</v>
      </c>
      <c r="EE154" s="51">
        <v>1.2543519706565052</v>
      </c>
      <c r="EF154" s="51">
        <v>0.93701720957614654</v>
      </c>
      <c r="EG154" s="51">
        <v>1.2133170179690933</v>
      </c>
      <c r="EH154" s="51"/>
      <c r="EI154" s="51">
        <v>0.87366887284380146</v>
      </c>
      <c r="EJ154" s="51">
        <v>0.95588165764196353</v>
      </c>
      <c r="EK154" s="51"/>
      <c r="EL154" s="51">
        <v>0.88583546927557832</v>
      </c>
      <c r="EM154" s="51">
        <v>0.28557614694801131</v>
      </c>
      <c r="EN154" s="51">
        <v>4.7744749345415088E-2</v>
      </c>
      <c r="EO154" s="51">
        <v>1.0866489526989095E-2</v>
      </c>
      <c r="EP154" s="51">
        <v>1.1027181137005021E-2</v>
      </c>
      <c r="EQ154" s="51">
        <v>1.290071854192427E-2</v>
      </c>
      <c r="ER154" s="51">
        <v>0.28021379958711895</v>
      </c>
      <c r="ES154" s="51">
        <v>0.13265825965652103</v>
      </c>
      <c r="ET154" s="51">
        <v>8.7031465349947143E-2</v>
      </c>
      <c r="EU154" s="51">
        <v>7.5915473127143848E-2</v>
      </c>
      <c r="EV154" s="51">
        <v>5.7005781274844028E-2</v>
      </c>
      <c r="EW154" s="51">
        <v>0.35775725287616156</v>
      </c>
      <c r="EX154" s="51">
        <v>0.19654640337183171</v>
      </c>
      <c r="EY154" s="51">
        <v>0.1890346049845712</v>
      </c>
      <c r="EZ154" s="51">
        <v>0.18631410211837696</v>
      </c>
      <c r="FA154" s="51">
        <v>0.41853706264343815</v>
      </c>
      <c r="FB154" s="51">
        <v>0.41151514716349452</v>
      </c>
      <c r="FC154" s="51">
        <v>0.51416145553713311</v>
      </c>
      <c r="FD154" s="51">
        <v>0.42043437646125514</v>
      </c>
      <c r="FE154" s="51">
        <v>0.42426403175184479</v>
      </c>
      <c r="FF154" s="51">
        <v>0.41747300793697323</v>
      </c>
      <c r="FG154" s="51">
        <v>0.88382671011375236</v>
      </c>
      <c r="FH154" s="51">
        <v>0.97200328173315187</v>
      </c>
      <c r="FI154" s="51"/>
      <c r="FJ154" s="51">
        <v>0.5511647338941571</v>
      </c>
      <c r="FK154" s="51">
        <v>0.51903163499727745</v>
      </c>
    </row>
    <row r="155" spans="3:167" ht="13.5" thickBot="1" x14ac:dyDescent="0.25">
      <c r="C155" s="10">
        <f t="shared" si="177"/>
        <v>0.2728669656186592</v>
      </c>
      <c r="D155" s="10">
        <f t="shared" si="178"/>
        <v>0.96036681984416861</v>
      </c>
      <c r="E155" s="10" cm="1">
        <f t="array" ref="E155">gavg(AF155,EL155)</f>
        <v>0.47859701022358903</v>
      </c>
      <c r="F155" s="10" cm="1">
        <f t="array" ref="F155">lnstdev(AF155,EL155)</f>
        <v>0.26730681750314883</v>
      </c>
      <c r="G155" s="10">
        <f t="shared" si="179"/>
        <v>73</v>
      </c>
      <c r="H155" s="10">
        <f t="shared" si="180"/>
        <v>0.73703364724099696</v>
      </c>
      <c r="I155" s="10">
        <f t="shared" si="181"/>
        <v>0.96036681984416861</v>
      </c>
      <c r="J155" s="10" cm="1">
        <f t="array" ref="J155">gavg(AF155,AO155)</f>
        <v>0.83197344916943772</v>
      </c>
      <c r="K155" s="10" cm="1">
        <f t="array" ref="K155">lnstdev(AF155,AO155)</f>
        <v>0.12789063009993756</v>
      </c>
      <c r="L155" s="10">
        <f t="shared" si="182"/>
        <v>4</v>
      </c>
      <c r="M155" s="10">
        <f t="shared" si="183"/>
        <v>0.34548631617817538</v>
      </c>
      <c r="N155" s="10">
        <f t="shared" si="184"/>
        <v>0.7308505825408006</v>
      </c>
      <c r="O155" s="10">
        <f t="shared" si="185"/>
        <v>10</v>
      </c>
      <c r="P155" s="10">
        <f t="shared" si="186"/>
        <v>0.2728669656186592</v>
      </c>
      <c r="Q155" s="10">
        <f t="shared" si="187"/>
        <v>0.60237979030425981</v>
      </c>
      <c r="R155" s="10">
        <f t="shared" si="188"/>
        <v>19</v>
      </c>
      <c r="S155" s="10">
        <f t="shared" si="189"/>
        <v>0.34060659659769765</v>
      </c>
      <c r="T155" s="10">
        <f t="shared" si="190"/>
        <v>0.78847997645521706</v>
      </c>
      <c r="U155" s="10">
        <f t="shared" si="191"/>
        <v>27</v>
      </c>
      <c r="V155" s="10">
        <f t="shared" si="123"/>
        <v>0.42473669130082969</v>
      </c>
      <c r="W155" s="10">
        <f t="shared" si="124"/>
        <v>0.72752517795761262</v>
      </c>
      <c r="X155" s="10">
        <f t="shared" si="125"/>
        <v>13</v>
      </c>
      <c r="Y155" s="10">
        <f t="shared" si="126"/>
        <v>0.57733238551816513</v>
      </c>
      <c r="Z155" s="10">
        <f t="shared" si="127"/>
        <v>0.57733238551816513</v>
      </c>
      <c r="AA155" s="10">
        <f t="shared" si="128"/>
        <v>1</v>
      </c>
      <c r="AB155" s="10">
        <f t="shared" si="129"/>
        <v>0.42473669130082969</v>
      </c>
      <c r="AC155" s="10">
        <f t="shared" si="130"/>
        <v>0.72752517795761262</v>
      </c>
      <c r="AD155" s="10">
        <f t="shared" si="131"/>
        <v>12</v>
      </c>
      <c r="AE155" s="50" t="s">
        <v>645</v>
      </c>
      <c r="AF155" s="51"/>
      <c r="AG155" s="51"/>
      <c r="AH155" s="51"/>
      <c r="AI155" s="51"/>
      <c r="AJ155" s="51"/>
      <c r="AK155" s="51"/>
      <c r="AL155" s="51">
        <v>0.96036681984416861</v>
      </c>
      <c r="AM155" s="51">
        <v>0.89328692887640948</v>
      </c>
      <c r="AN155" s="51">
        <v>0.73703364724099696</v>
      </c>
      <c r="AO155" s="51">
        <v>0.75774386067850485</v>
      </c>
      <c r="AP155" s="51">
        <v>0.7308505825408006</v>
      </c>
      <c r="AQ155" s="51">
        <v>0.71783627330120059</v>
      </c>
      <c r="AR155" s="51">
        <v>0.432375549494602</v>
      </c>
      <c r="AS155" s="51">
        <v>0.45157104181827645</v>
      </c>
      <c r="AT155" s="51">
        <v>0.43928504327990237</v>
      </c>
      <c r="AU155" s="51"/>
      <c r="AV155" s="51">
        <v>0.42531849852588605</v>
      </c>
      <c r="AW155" s="51"/>
      <c r="AX155" s="51"/>
      <c r="AY155" s="51"/>
      <c r="AZ155" s="51"/>
      <c r="BA155" s="51"/>
      <c r="BB155" s="51">
        <v>0.34548631617817538</v>
      </c>
      <c r="BC155" s="51"/>
      <c r="BD155" s="51"/>
      <c r="BE155" s="51"/>
      <c r="BF155" s="51"/>
      <c r="BG155" s="51"/>
      <c r="BH155" s="51"/>
      <c r="BI155" s="51">
        <v>0.65570763431456236</v>
      </c>
      <c r="BJ155" s="51">
        <v>0.53004555431601708</v>
      </c>
      <c r="BK155" s="51">
        <v>0.72869670752263049</v>
      </c>
      <c r="BL155" s="51"/>
      <c r="BM155" s="51">
        <v>0.43307300394888953</v>
      </c>
      <c r="BN155" s="51">
        <v>0.4442162287142295</v>
      </c>
      <c r="BO155" s="51"/>
      <c r="BP155" s="51">
        <v>0.41572462306903368</v>
      </c>
      <c r="BQ155" s="51">
        <v>0.60237979030425981</v>
      </c>
      <c r="BR155" s="51">
        <v>0.3890849447636926</v>
      </c>
      <c r="BS155" s="51">
        <v>0.40982510104346898</v>
      </c>
      <c r="BT155" s="51">
        <v>0.52810339526913164</v>
      </c>
      <c r="BU155" s="51">
        <v>0.42495049316497635</v>
      </c>
      <c r="BV155" s="51">
        <v>0.39084889815715973</v>
      </c>
      <c r="BW155" s="51">
        <v>0.34366383197420963</v>
      </c>
      <c r="BX155" s="51">
        <v>0.32875328928163916</v>
      </c>
      <c r="BY155" s="51">
        <v>0.33973259622205471</v>
      </c>
      <c r="BZ155" s="51">
        <v>0.39178414262755124</v>
      </c>
      <c r="CA155" s="51">
        <v>0.44725470333906081</v>
      </c>
      <c r="CB155" s="51">
        <v>0.37789148252078603</v>
      </c>
      <c r="CC155" s="51">
        <v>0.35989857533763442</v>
      </c>
      <c r="CD155" s="51">
        <v>0.31649613157295897</v>
      </c>
      <c r="CE155" s="51">
        <v>0.29954938067227915</v>
      </c>
      <c r="CF155" s="51">
        <v>0.2728669656186592</v>
      </c>
      <c r="CG155" s="51"/>
      <c r="CH155" s="51"/>
      <c r="CI155" s="51"/>
      <c r="CJ155" s="51"/>
      <c r="CK155" s="51"/>
      <c r="CL155" s="51"/>
      <c r="CM155" s="51"/>
      <c r="CN155" s="51"/>
      <c r="CO155" s="51"/>
      <c r="CP155" s="51">
        <v>0.518735376419174</v>
      </c>
      <c r="CQ155" s="51">
        <v>0.46288452511443928</v>
      </c>
      <c r="CR155" s="51">
        <v>0.34516450690738559</v>
      </c>
      <c r="CS155" s="51">
        <v>0.53994325565255963</v>
      </c>
      <c r="CT155" s="51">
        <v>0.42200055681275495</v>
      </c>
      <c r="CU155" s="51">
        <v>0.37598135780172603</v>
      </c>
      <c r="CV155" s="51">
        <v>0.34106920022113935</v>
      </c>
      <c r="CW155" s="51">
        <v>0.48729367255097683</v>
      </c>
      <c r="CX155" s="51">
        <v>0.58794556524159858</v>
      </c>
      <c r="CY155" s="51">
        <v>0.40856996496516468</v>
      </c>
      <c r="CZ155" s="51">
        <v>0.47244529884291847</v>
      </c>
      <c r="DA155" s="51">
        <v>0.45374139761871884</v>
      </c>
      <c r="DB155" s="51">
        <v>0.42399195679509555</v>
      </c>
      <c r="DC155" s="51"/>
      <c r="DD155" s="51">
        <v>0.36107049166678162</v>
      </c>
      <c r="DE155" s="51">
        <v>0.50794300697282102</v>
      </c>
      <c r="DF155" s="51"/>
      <c r="DG155" s="51"/>
      <c r="DH155" s="51">
        <v>0.46388722979994113</v>
      </c>
      <c r="DI155" s="51">
        <v>0.40069234752418292</v>
      </c>
      <c r="DJ155" s="51">
        <v>0.47943623315041889</v>
      </c>
      <c r="DK155" s="51">
        <v>0.37951738825453635</v>
      </c>
      <c r="DL155" s="51">
        <v>0.34060659659769765</v>
      </c>
      <c r="DM155" s="51">
        <v>0.78847997645521706</v>
      </c>
      <c r="DN155" s="51">
        <v>0.59335133020214215</v>
      </c>
      <c r="DO155" s="51">
        <v>0.59740046022618287</v>
      </c>
      <c r="DP155" s="51">
        <v>0.52682714183434454</v>
      </c>
      <c r="DQ155" s="51">
        <v>0.49830527683718018</v>
      </c>
      <c r="DR155" s="51">
        <v>0.50344562161440598</v>
      </c>
      <c r="DS155" s="51">
        <v>0.45759924918351924</v>
      </c>
      <c r="DT155" s="51"/>
      <c r="DU155" s="51"/>
      <c r="DV155" s="51">
        <v>0.57733238551816513</v>
      </c>
      <c r="DW155" s="51"/>
      <c r="DX155" s="51"/>
      <c r="DY155" s="51">
        <v>0.70973801600150366</v>
      </c>
      <c r="DZ155" s="51">
        <v>0.57527123698354143</v>
      </c>
      <c r="EA155" s="51">
        <v>0.60324576836906785</v>
      </c>
      <c r="EB155" s="51">
        <v>0.72752517795761262</v>
      </c>
      <c r="EC155" s="51">
        <v>0.56828269986809865</v>
      </c>
      <c r="ED155" s="51">
        <v>0.52462788544773498</v>
      </c>
      <c r="EE155" s="51">
        <v>0.55343585448102672</v>
      </c>
      <c r="EF155" s="51">
        <v>0.4545541748876753</v>
      </c>
      <c r="EG155" s="51">
        <v>0.57604467493395317</v>
      </c>
      <c r="EH155" s="51"/>
      <c r="EI155" s="51">
        <v>0.42473669130082969</v>
      </c>
      <c r="EJ155" s="51">
        <v>0.44281643784771291</v>
      </c>
      <c r="EK155" s="51"/>
      <c r="EL155" s="51">
        <v>0.43893419414023621</v>
      </c>
      <c r="EM155" s="51">
        <v>0.10050034197595002</v>
      </c>
      <c r="EN155" s="51">
        <v>1.9649086220186209E-2</v>
      </c>
      <c r="EO155" s="51">
        <v>3.4319982629357868E-3</v>
      </c>
      <c r="EP155" s="51">
        <v>3.3949761525223139E-3</v>
      </c>
      <c r="EQ155" s="51">
        <v>3.6835487506071988E-3</v>
      </c>
      <c r="ER155" s="51">
        <v>0.11218387575538979</v>
      </c>
      <c r="ES155" s="51">
        <v>1.3198390006227186E-2</v>
      </c>
      <c r="ET155" s="51">
        <v>9.6566259175018942E-3</v>
      </c>
      <c r="EU155" s="51">
        <v>8.4146805181207346E-3</v>
      </c>
      <c r="EV155" s="51">
        <v>6.0672925836411486E-3</v>
      </c>
      <c r="EW155" s="51">
        <v>0.11771556013199762</v>
      </c>
      <c r="EX155" s="51">
        <v>1.7669434187244946E-2</v>
      </c>
      <c r="EY155" s="51">
        <v>2.9598638487121427E-2</v>
      </c>
      <c r="EZ155" s="51">
        <v>3.2214612104015217E-2</v>
      </c>
      <c r="FA155" s="51">
        <v>0.10632391632834033</v>
      </c>
      <c r="FB155" s="51">
        <v>0.11220232846888069</v>
      </c>
      <c r="FC155" s="51">
        <v>7.3489621352798754E-2</v>
      </c>
      <c r="FD155" s="51">
        <v>9.0179684553100145E-2</v>
      </c>
      <c r="FE155" s="51">
        <v>0.10303947225646552</v>
      </c>
      <c r="FF155" s="51">
        <v>0.12652208158143</v>
      </c>
      <c r="FG155" s="51">
        <v>0.12773958173399852</v>
      </c>
      <c r="FH155" s="51">
        <v>0.26310318935535931</v>
      </c>
      <c r="FI155" s="51"/>
      <c r="FJ155" s="51">
        <v>0.16750325075691225</v>
      </c>
      <c r="FK155" s="51">
        <v>0.19661727243044103</v>
      </c>
    </row>
    <row r="156" spans="3:167" x14ac:dyDescent="0.2">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row>
    <row r="157" spans="3:167" x14ac:dyDescent="0.2">
      <c r="C157" s="10">
        <f t="shared" si="132"/>
        <v>0</v>
      </c>
      <c r="D157" s="10">
        <f t="shared" si="133"/>
        <v>7.7949448834210303E-2</v>
      </c>
      <c r="E157" s="10" cm="1">
        <f t="array" ref="E157">gavg(AF157,EL157)</f>
        <v>7.4955404178345174E-4</v>
      </c>
      <c r="F157" s="10" cm="1">
        <f t="array" ref="F157">lnstdev(AF157,EL157)</f>
        <v>1.922296546502541</v>
      </c>
      <c r="G157" s="10">
        <f t="shared" si="134"/>
        <v>111</v>
      </c>
      <c r="H157" s="10">
        <f t="shared" si="135"/>
        <v>0</v>
      </c>
      <c r="I157" s="10">
        <f t="shared" si="136"/>
        <v>7.7949448834210303E-2</v>
      </c>
      <c r="J157" s="10"/>
      <c r="K157" s="10"/>
      <c r="L157" s="10">
        <f t="shared" si="137"/>
        <v>10</v>
      </c>
      <c r="M157" s="10">
        <f t="shared" si="138"/>
        <v>0</v>
      </c>
      <c r="N157" s="10">
        <f t="shared" si="139"/>
        <v>1.1174664921331184E-3</v>
      </c>
      <c r="O157" s="10">
        <f t="shared" si="140"/>
        <v>23</v>
      </c>
      <c r="P157" s="10">
        <f t="shared" si="141"/>
        <v>0</v>
      </c>
      <c r="Q157" s="10">
        <f t="shared" si="142"/>
        <v>1.9814111458985064E-4</v>
      </c>
      <c r="R157" s="10">
        <f t="shared" si="143"/>
        <v>29</v>
      </c>
      <c r="S157" s="10">
        <f t="shared" si="144"/>
        <v>0</v>
      </c>
      <c r="T157" s="10">
        <f t="shared" si="145"/>
        <v>3.5728998767917729E-3</v>
      </c>
      <c r="U157" s="10">
        <f t="shared" si="146"/>
        <v>31</v>
      </c>
      <c r="V157" s="10">
        <f t="shared" si="123"/>
        <v>0</v>
      </c>
      <c r="W157" s="10">
        <f t="shared" si="124"/>
        <v>9.9573074357264708E-3</v>
      </c>
      <c r="X157" s="10">
        <f t="shared" si="125"/>
        <v>18</v>
      </c>
      <c r="Y157" s="10">
        <f t="shared" si="126"/>
        <v>0</v>
      </c>
      <c r="Z157" s="10">
        <f t="shared" si="127"/>
        <v>6.3748311749673645E-3</v>
      </c>
      <c r="AA157" s="10">
        <f t="shared" si="128"/>
        <v>4</v>
      </c>
      <c r="AB157" s="10">
        <f t="shared" si="129"/>
        <v>0</v>
      </c>
      <c r="AC157" s="10">
        <f t="shared" si="130"/>
        <v>9.9573074357264708E-3</v>
      </c>
      <c r="AD157" s="10">
        <f t="shared" si="131"/>
        <v>14</v>
      </c>
      <c r="AE157" s="5" t="s">
        <v>281</v>
      </c>
      <c r="AF157">
        <f t="shared" ref="AF157:BK157" si="192">AF104/AF26</f>
        <v>0</v>
      </c>
      <c r="AG157">
        <f t="shared" si="192"/>
        <v>0</v>
      </c>
      <c r="AH157">
        <f t="shared" si="192"/>
        <v>0</v>
      </c>
      <c r="AI157">
        <f t="shared" si="192"/>
        <v>0</v>
      </c>
      <c r="AJ157">
        <f t="shared" si="192"/>
        <v>0</v>
      </c>
      <c r="AK157">
        <f t="shared" si="192"/>
        <v>0</v>
      </c>
      <c r="AL157">
        <f t="shared" si="192"/>
        <v>7.7949448834210303E-2</v>
      </c>
      <c r="AM157">
        <f t="shared" si="192"/>
        <v>7.6738393173955088E-2</v>
      </c>
      <c r="AN157">
        <f t="shared" si="192"/>
        <v>6.6028693525612248E-2</v>
      </c>
      <c r="AO157">
        <f t="shared" si="192"/>
        <v>5.4816743036712787E-2</v>
      </c>
      <c r="AP157">
        <f t="shared" si="192"/>
        <v>1.1174664921331184E-3</v>
      </c>
      <c r="AQ157">
        <f t="shared" si="192"/>
        <v>5.2746315008956322E-4</v>
      </c>
      <c r="AR157">
        <f t="shared" si="192"/>
        <v>1.0874308914934955E-4</v>
      </c>
      <c r="AS157">
        <f t="shared" si="192"/>
        <v>2.1376862666943274E-4</v>
      </c>
      <c r="AT157">
        <f t="shared" si="192"/>
        <v>1.1464436121210807E-4</v>
      </c>
      <c r="AU157">
        <f t="shared" si="192"/>
        <v>0</v>
      </c>
      <c r="AV157">
        <f t="shared" si="192"/>
        <v>4.7684565861149021E-4</v>
      </c>
      <c r="AW157">
        <f t="shared" si="192"/>
        <v>0</v>
      </c>
      <c r="AX157">
        <f t="shared" si="192"/>
        <v>0</v>
      </c>
      <c r="AY157">
        <f t="shared" si="192"/>
        <v>0</v>
      </c>
      <c r="AZ157">
        <f t="shared" si="192"/>
        <v>0</v>
      </c>
      <c r="BA157">
        <f t="shared" si="192"/>
        <v>0</v>
      </c>
      <c r="BB157">
        <f t="shared" si="192"/>
        <v>4.4486420077283038E-4</v>
      </c>
      <c r="BC157">
        <f t="shared" si="192"/>
        <v>0</v>
      </c>
      <c r="BD157">
        <f t="shared" si="192"/>
        <v>0</v>
      </c>
      <c r="BE157">
        <f t="shared" si="192"/>
        <v>0</v>
      </c>
      <c r="BF157">
        <f t="shared" si="192"/>
        <v>0</v>
      </c>
      <c r="BG157">
        <f t="shared" si="192"/>
        <v>0</v>
      </c>
      <c r="BH157">
        <f t="shared" si="192"/>
        <v>0</v>
      </c>
      <c r="BI157">
        <f t="shared" si="192"/>
        <v>1.140028274829745E-4</v>
      </c>
      <c r="BJ157">
        <f t="shared" si="192"/>
        <v>1.0040658865045402E-4</v>
      </c>
      <c r="BK157">
        <f t="shared" si="192"/>
        <v>1.5187748429366953E-4</v>
      </c>
      <c r="BL157">
        <f t="shared" ref="BL157:CQ157" si="193">BL104/BL26</f>
        <v>0</v>
      </c>
      <c r="BM157">
        <f t="shared" si="193"/>
        <v>1.9814111458985064E-4</v>
      </c>
      <c r="BN157">
        <f t="shared" si="193"/>
        <v>1.3364794400687823E-4</v>
      </c>
      <c r="BO157">
        <f t="shared" si="193"/>
        <v>0</v>
      </c>
      <c r="BP157">
        <f t="shared" si="193"/>
        <v>4.6534639030132933E-5</v>
      </c>
      <c r="BQ157">
        <f t="shared" si="193"/>
        <v>7.4069256638433864E-5</v>
      </c>
      <c r="BR157">
        <f t="shared" si="193"/>
        <v>5.0139713126517712E-5</v>
      </c>
      <c r="BS157">
        <f t="shared" si="193"/>
        <v>7.106486188330745E-5</v>
      </c>
      <c r="BT157">
        <f t="shared" si="193"/>
        <v>8.6753184485121652E-5</v>
      </c>
      <c r="BU157">
        <f t="shared" si="193"/>
        <v>8.1459486336571283E-5</v>
      </c>
      <c r="BV157">
        <f t="shared" si="193"/>
        <v>7.9220707092633608E-5</v>
      </c>
      <c r="BW157">
        <f t="shared" si="193"/>
        <v>6.4505125784216938E-5</v>
      </c>
      <c r="BX157">
        <f t="shared" si="193"/>
        <v>6.7874783481319746E-5</v>
      </c>
      <c r="BY157">
        <f t="shared" si="193"/>
        <v>6.5756687912196132E-5</v>
      </c>
      <c r="BZ157">
        <f t="shared" si="193"/>
        <v>4.0221457477994587E-5</v>
      </c>
      <c r="CA157">
        <f t="shared" si="193"/>
        <v>9.2785132454177252E-5</v>
      </c>
      <c r="CB157">
        <f t="shared" si="193"/>
        <v>8.2409894528377359E-5</v>
      </c>
      <c r="CC157">
        <f t="shared" si="193"/>
        <v>6.1151372995662634E-5</v>
      </c>
      <c r="CD157">
        <f t="shared" si="193"/>
        <v>5.8725866978621786E-5</v>
      </c>
      <c r="CE157">
        <f t="shared" si="193"/>
        <v>4.7243704494444188E-5</v>
      </c>
      <c r="CF157">
        <f t="shared" si="193"/>
        <v>4.7181559489769389E-5</v>
      </c>
      <c r="CG157">
        <f t="shared" si="193"/>
        <v>0</v>
      </c>
      <c r="CH157">
        <f t="shared" si="193"/>
        <v>0</v>
      </c>
      <c r="CI157">
        <f t="shared" si="193"/>
        <v>0</v>
      </c>
      <c r="CJ157">
        <f t="shared" si="193"/>
        <v>0</v>
      </c>
      <c r="CK157">
        <f t="shared" si="193"/>
        <v>0</v>
      </c>
      <c r="CL157">
        <f t="shared" si="193"/>
        <v>0</v>
      </c>
      <c r="CM157">
        <f t="shared" si="193"/>
        <v>0</v>
      </c>
      <c r="CN157">
        <f t="shared" si="193"/>
        <v>0</v>
      </c>
      <c r="CO157">
        <f t="shared" si="193"/>
        <v>0</v>
      </c>
      <c r="CP157">
        <f t="shared" si="193"/>
        <v>1.6261842033287769E-3</v>
      </c>
      <c r="CQ157">
        <f t="shared" si="193"/>
        <v>1.6875228921829427E-3</v>
      </c>
      <c r="CR157">
        <f t="shared" ref="CR157:DW157" si="194">CR104/CR26</f>
        <v>1.0956742347664893E-3</v>
      </c>
      <c r="CS157">
        <f t="shared" si="194"/>
        <v>1.7367544183136692E-3</v>
      </c>
      <c r="CT157">
        <f t="shared" si="194"/>
        <v>1.365459238086175E-3</v>
      </c>
      <c r="CU157">
        <f t="shared" si="194"/>
        <v>1.113530184130945E-3</v>
      </c>
      <c r="CV157">
        <f t="shared" si="194"/>
        <v>1.0471112627712495E-3</v>
      </c>
      <c r="CW157">
        <f t="shared" si="194"/>
        <v>1.4595141468995753E-3</v>
      </c>
      <c r="CX157">
        <f t="shared" si="194"/>
        <v>1.1584320927097986E-3</v>
      </c>
      <c r="CY157">
        <f t="shared" si="194"/>
        <v>9.1139020240502318E-4</v>
      </c>
      <c r="CZ157">
        <f t="shared" si="194"/>
        <v>9.8382303973769793E-4</v>
      </c>
      <c r="DA157">
        <f t="shared" si="194"/>
        <v>9.7780967897915464E-4</v>
      </c>
      <c r="DB157">
        <f t="shared" si="194"/>
        <v>1.0776852067083428E-3</v>
      </c>
      <c r="DC157">
        <f t="shared" si="194"/>
        <v>0</v>
      </c>
      <c r="DD157">
        <f t="shared" si="194"/>
        <v>6.4493225371860046E-4</v>
      </c>
      <c r="DE157">
        <f t="shared" si="194"/>
        <v>2.43609817382834E-3</v>
      </c>
      <c r="DF157">
        <f t="shared" si="194"/>
        <v>0</v>
      </c>
      <c r="DG157">
        <f t="shared" si="194"/>
        <v>0</v>
      </c>
      <c r="DH157">
        <f t="shared" si="194"/>
        <v>1.1559781963147828E-3</v>
      </c>
      <c r="DI157">
        <f t="shared" si="194"/>
        <v>9.6250601469020502E-4</v>
      </c>
      <c r="DJ157">
        <f t="shared" si="194"/>
        <v>8.298057059840854E-4</v>
      </c>
      <c r="DK157">
        <f t="shared" si="194"/>
        <v>7.8362260564926434E-4</v>
      </c>
      <c r="DL157">
        <f t="shared" si="194"/>
        <v>6.8380725879994798E-4</v>
      </c>
      <c r="DM157">
        <f t="shared" si="194"/>
        <v>3.4974302355156688E-3</v>
      </c>
      <c r="DN157">
        <f t="shared" si="194"/>
        <v>1.6939765707832243E-3</v>
      </c>
      <c r="DO157">
        <f t="shared" si="194"/>
        <v>3.5728998767917729E-3</v>
      </c>
      <c r="DP157">
        <f t="shared" si="194"/>
        <v>2.0932944972347992E-3</v>
      </c>
      <c r="DQ157">
        <f t="shared" si="194"/>
        <v>1.6476585662587844E-3</v>
      </c>
      <c r="DR157">
        <f t="shared" si="194"/>
        <v>1.642166192534896E-3</v>
      </c>
      <c r="DS157">
        <f t="shared" si="194"/>
        <v>1.3889890398736944E-3</v>
      </c>
      <c r="DT157">
        <f t="shared" si="194"/>
        <v>0</v>
      </c>
      <c r="DU157">
        <f t="shared" si="194"/>
        <v>0</v>
      </c>
      <c r="DV157">
        <f t="shared" si="194"/>
        <v>6.3748311749673645E-3</v>
      </c>
      <c r="DW157">
        <f t="shared" si="194"/>
        <v>0</v>
      </c>
      <c r="DX157">
        <f t="shared" ref="DX157:FC157" si="195">DX104/DX26</f>
        <v>0</v>
      </c>
      <c r="DY157">
        <f t="shared" si="195"/>
        <v>9.9573074357264708E-3</v>
      </c>
      <c r="DZ157">
        <f t="shared" si="195"/>
        <v>4.8923081865689406E-3</v>
      </c>
      <c r="EA157">
        <f t="shared" si="195"/>
        <v>3.1611048676098937E-3</v>
      </c>
      <c r="EB157">
        <f t="shared" si="195"/>
        <v>4.5908478034694918E-3</v>
      </c>
      <c r="EC157">
        <f t="shared" si="195"/>
        <v>3.8869533457213494E-3</v>
      </c>
      <c r="ED157">
        <f t="shared" si="195"/>
        <v>3.6602545852870779E-3</v>
      </c>
      <c r="EE157">
        <f t="shared" si="195"/>
        <v>3.7798064218291716E-3</v>
      </c>
      <c r="EF157">
        <f t="shared" si="195"/>
        <v>3.169935131632765E-3</v>
      </c>
      <c r="EG157">
        <f t="shared" si="195"/>
        <v>6.449140444866071E-3</v>
      </c>
      <c r="EH157">
        <f t="shared" si="195"/>
        <v>0</v>
      </c>
      <c r="EI157">
        <f t="shared" si="195"/>
        <v>3.8674106919304712E-3</v>
      </c>
      <c r="EJ157">
        <f t="shared" si="195"/>
        <v>3.5860636419774833E-3</v>
      </c>
      <c r="EK157">
        <f t="shared" si="195"/>
        <v>0</v>
      </c>
      <c r="EL157">
        <f t="shared" si="195"/>
        <v>3.7941309156139316E-3</v>
      </c>
      <c r="EM157">
        <f t="shared" si="195"/>
        <v>1.9074931312010459E-4</v>
      </c>
      <c r="EN157">
        <f t="shared" si="195"/>
        <v>6.065010909629354E-5</v>
      </c>
      <c r="EO157">
        <f t="shared" si="195"/>
        <v>5.0393071097980805E-5</v>
      </c>
      <c r="EP157">
        <f t="shared" si="195"/>
        <v>4.3472787861313339E-5</v>
      </c>
      <c r="EQ157">
        <f t="shared" si="195"/>
        <v>5.5689644440559444E-5</v>
      </c>
      <c r="ER157">
        <f t="shared" si="195"/>
        <v>1.9655255123417594E-4</v>
      </c>
      <c r="ES157">
        <f t="shared" si="195"/>
        <v>3.8734376147723539E-4</v>
      </c>
      <c r="ET157">
        <f t="shared" si="195"/>
        <v>3.0531056418896501E-4</v>
      </c>
      <c r="EU157">
        <f t="shared" si="195"/>
        <v>2.6168218254011156E-4</v>
      </c>
      <c r="EV157">
        <f t="shared" si="195"/>
        <v>2.2687217135337369E-4</v>
      </c>
      <c r="EW157">
        <f t="shared" si="195"/>
        <v>2.9150772140815846E-4</v>
      </c>
      <c r="EX157">
        <f t="shared" si="195"/>
        <v>6.0885445766995991E-4</v>
      </c>
      <c r="EY157">
        <f t="shared" si="195"/>
        <v>8.4311113214176401E-4</v>
      </c>
      <c r="EZ157">
        <f t="shared" si="195"/>
        <v>1.0482302593527416E-3</v>
      </c>
      <c r="FA157">
        <f t="shared" si="195"/>
        <v>1.8041629919391285E-3</v>
      </c>
      <c r="FB157">
        <f t="shared" si="195"/>
        <v>3.5554399160496491E-4</v>
      </c>
      <c r="FC157">
        <f t="shared" si="195"/>
        <v>2.2541039881607485E-3</v>
      </c>
      <c r="FD157">
        <f t="shared" ref="FD157:FK157" si="196">FD104/FD26</f>
        <v>1.8286650301950764E-3</v>
      </c>
      <c r="FE157">
        <f t="shared" si="196"/>
        <v>1.8252229267680063E-3</v>
      </c>
      <c r="FF157">
        <f t="shared" si="196"/>
        <v>1.4772054616585591E-3</v>
      </c>
      <c r="FG157">
        <f t="shared" si="196"/>
        <v>1.0080752237564966E-3</v>
      </c>
      <c r="FH157">
        <f t="shared" si="196"/>
        <v>4.4747485772780498E-3</v>
      </c>
      <c r="FI157">
        <f t="shared" si="196"/>
        <v>0</v>
      </c>
      <c r="FJ157">
        <f t="shared" si="196"/>
        <v>2.5890031811885922E-3</v>
      </c>
      <c r="FK157">
        <f t="shared" si="196"/>
        <v>3.2055110744445862E-3</v>
      </c>
    </row>
    <row r="158" spans="3:167" x14ac:dyDescent="0.2">
      <c r="C158" s="10">
        <f t="shared" si="132"/>
        <v>0</v>
      </c>
      <c r="D158" s="10">
        <f t="shared" si="133"/>
        <v>9.0040982001996298E-2</v>
      </c>
      <c r="E158" s="10" cm="1">
        <f t="array" ref="E158">gavg(AF158,EL158)</f>
        <v>4.9641499608376874E-3</v>
      </c>
      <c r="F158" s="10" cm="1">
        <f t="array" ref="F158">lnstdev(AF158,EL158)</f>
        <v>1.7906069864037286</v>
      </c>
      <c r="G158" s="10">
        <f t="shared" si="134"/>
        <v>111</v>
      </c>
      <c r="H158" s="10">
        <f t="shared" si="135"/>
        <v>0</v>
      </c>
      <c r="I158" s="10">
        <f t="shared" si="136"/>
        <v>9.0040982001996298E-2</v>
      </c>
      <c r="J158" s="10"/>
      <c r="K158" s="10"/>
      <c r="L158" s="10">
        <f t="shared" si="137"/>
        <v>10</v>
      </c>
      <c r="M158" s="10">
        <f t="shared" si="138"/>
        <v>0</v>
      </c>
      <c r="N158" s="10">
        <f t="shared" si="139"/>
        <v>1.5059331679641002E-3</v>
      </c>
      <c r="O158" s="10">
        <f t="shared" si="140"/>
        <v>23</v>
      </c>
      <c r="P158" s="10">
        <f t="shared" si="141"/>
        <v>0</v>
      </c>
      <c r="Q158" s="10">
        <f t="shared" si="142"/>
        <v>4.0536790564486358E-3</v>
      </c>
      <c r="R158" s="10">
        <f t="shared" si="143"/>
        <v>29</v>
      </c>
      <c r="S158" s="10">
        <f t="shared" si="144"/>
        <v>0</v>
      </c>
      <c r="T158" s="10">
        <f t="shared" si="145"/>
        <v>2.9642300633154366E-2</v>
      </c>
      <c r="U158" s="10">
        <f t="shared" si="146"/>
        <v>31</v>
      </c>
      <c r="V158" s="10">
        <f t="shared" si="123"/>
        <v>0</v>
      </c>
      <c r="W158" s="10">
        <f t="shared" si="124"/>
        <v>3.5052470577838842E-2</v>
      </c>
      <c r="X158" s="10">
        <f t="shared" si="125"/>
        <v>18</v>
      </c>
      <c r="Y158" s="10">
        <f t="shared" si="126"/>
        <v>0</v>
      </c>
      <c r="Z158" s="10">
        <f t="shared" si="127"/>
        <v>6.81019598372486E-3</v>
      </c>
      <c r="AA158" s="10">
        <f t="shared" si="128"/>
        <v>4</v>
      </c>
      <c r="AB158" s="10">
        <f t="shared" si="129"/>
        <v>0</v>
      </c>
      <c r="AC158" s="10">
        <f t="shared" si="130"/>
        <v>3.5052470577838842E-2</v>
      </c>
      <c r="AD158" s="10">
        <f t="shared" si="131"/>
        <v>14</v>
      </c>
      <c r="AE158" s="5" t="s">
        <v>282</v>
      </c>
      <c r="AF158">
        <f t="shared" ref="AF158:BK158" si="197">AF105/AF26</f>
        <v>0</v>
      </c>
      <c r="AG158">
        <f t="shared" si="197"/>
        <v>0</v>
      </c>
      <c r="AH158">
        <f t="shared" si="197"/>
        <v>0</v>
      </c>
      <c r="AI158">
        <f t="shared" si="197"/>
        <v>0</v>
      </c>
      <c r="AJ158">
        <f t="shared" si="197"/>
        <v>0</v>
      </c>
      <c r="AK158">
        <f t="shared" si="197"/>
        <v>0</v>
      </c>
      <c r="AL158">
        <f t="shared" si="197"/>
        <v>9.0040982001996298E-2</v>
      </c>
      <c r="AM158">
        <f t="shared" si="197"/>
        <v>8.7251986592202319E-2</v>
      </c>
      <c r="AN158">
        <f t="shared" si="197"/>
        <v>6.4284795998294092E-2</v>
      </c>
      <c r="AO158">
        <f t="shared" si="197"/>
        <v>4.4394609588308598E-2</v>
      </c>
      <c r="AP158">
        <f t="shared" si="197"/>
        <v>3.8441858796276768E-5</v>
      </c>
      <c r="AQ158">
        <f t="shared" si="197"/>
        <v>2.3214355954535089E-5</v>
      </c>
      <c r="AR158">
        <f t="shared" si="197"/>
        <v>3.6809627021458307E-4</v>
      </c>
      <c r="AS158">
        <f t="shared" si="197"/>
        <v>4.1672105284031843E-4</v>
      </c>
      <c r="AT158">
        <f t="shared" si="197"/>
        <v>1.5059331679641002E-3</v>
      </c>
      <c r="AU158">
        <f t="shared" si="197"/>
        <v>0</v>
      </c>
      <c r="AV158">
        <f t="shared" si="197"/>
        <v>7.5988920997084499E-4</v>
      </c>
      <c r="AW158">
        <f t="shared" si="197"/>
        <v>0</v>
      </c>
      <c r="AX158">
        <f t="shared" si="197"/>
        <v>0</v>
      </c>
      <c r="AY158">
        <f t="shared" si="197"/>
        <v>0</v>
      </c>
      <c r="AZ158">
        <f t="shared" si="197"/>
        <v>0</v>
      </c>
      <c r="BA158">
        <f t="shared" si="197"/>
        <v>0</v>
      </c>
      <c r="BB158">
        <f t="shared" si="197"/>
        <v>1.4819028406249592E-3</v>
      </c>
      <c r="BC158">
        <f t="shared" si="197"/>
        <v>0</v>
      </c>
      <c r="BD158">
        <f t="shared" si="197"/>
        <v>0</v>
      </c>
      <c r="BE158">
        <f t="shared" si="197"/>
        <v>0</v>
      </c>
      <c r="BF158">
        <f t="shared" si="197"/>
        <v>0</v>
      </c>
      <c r="BG158">
        <f t="shared" si="197"/>
        <v>0</v>
      </c>
      <c r="BH158">
        <f t="shared" si="197"/>
        <v>0</v>
      </c>
      <c r="BI158">
        <f t="shared" si="197"/>
        <v>2.8553562498237072E-5</v>
      </c>
      <c r="BJ158">
        <f t="shared" si="197"/>
        <v>5.3818989671085662E-4</v>
      </c>
      <c r="BK158">
        <f t="shared" si="197"/>
        <v>2.6273583831228324E-5</v>
      </c>
      <c r="BL158">
        <f t="shared" ref="BL158:CQ158" si="198">BL105/BL26</f>
        <v>0</v>
      </c>
      <c r="BM158">
        <f t="shared" si="198"/>
        <v>4.0536790564486358E-3</v>
      </c>
      <c r="BN158">
        <f t="shared" si="198"/>
        <v>3.6943134192579203E-3</v>
      </c>
      <c r="BO158">
        <f t="shared" si="198"/>
        <v>0</v>
      </c>
      <c r="BP158">
        <f t="shared" si="198"/>
        <v>9.4442032779439738E-4</v>
      </c>
      <c r="BQ158">
        <f t="shared" si="198"/>
        <v>2.5209646398955355E-3</v>
      </c>
      <c r="BR158">
        <f t="shared" si="198"/>
        <v>1.9462900716680908E-3</v>
      </c>
      <c r="BS158">
        <f t="shared" si="198"/>
        <v>2.3275939923693783E-3</v>
      </c>
      <c r="BT158">
        <f t="shared" si="198"/>
        <v>3.2359244771707628E-3</v>
      </c>
      <c r="BU158">
        <f t="shared" si="198"/>
        <v>2.1810389436198014E-3</v>
      </c>
      <c r="BV158">
        <f t="shared" si="198"/>
        <v>2.5848024977170965E-3</v>
      </c>
      <c r="BW158">
        <f t="shared" si="198"/>
        <v>2.3382293371407839E-3</v>
      </c>
      <c r="BX158">
        <f t="shared" si="198"/>
        <v>2.2516724400626011E-3</v>
      </c>
      <c r="BY158">
        <f t="shared" si="198"/>
        <v>1.8360661563429528E-3</v>
      </c>
      <c r="BZ158">
        <f t="shared" si="198"/>
        <v>1.2778887382920128E-3</v>
      </c>
      <c r="CA158">
        <f t="shared" si="198"/>
        <v>2.514883143081432E-3</v>
      </c>
      <c r="CB158">
        <f t="shared" si="198"/>
        <v>2.4790862392488314E-3</v>
      </c>
      <c r="CC158">
        <f t="shared" si="198"/>
        <v>1.6685236744365629E-3</v>
      </c>
      <c r="CD158">
        <f t="shared" si="198"/>
        <v>1.8488746245709613E-3</v>
      </c>
      <c r="CE158">
        <f t="shared" si="198"/>
        <v>1.4726406461466417E-3</v>
      </c>
      <c r="CF158">
        <f t="shared" si="198"/>
        <v>1.4070155035457387E-3</v>
      </c>
      <c r="CG158">
        <f t="shared" si="198"/>
        <v>0</v>
      </c>
      <c r="CH158">
        <f t="shared" si="198"/>
        <v>0</v>
      </c>
      <c r="CI158">
        <f t="shared" si="198"/>
        <v>0</v>
      </c>
      <c r="CJ158">
        <f t="shared" si="198"/>
        <v>0</v>
      </c>
      <c r="CK158">
        <f t="shared" si="198"/>
        <v>0</v>
      </c>
      <c r="CL158">
        <f t="shared" si="198"/>
        <v>0</v>
      </c>
      <c r="CM158">
        <f t="shared" si="198"/>
        <v>0</v>
      </c>
      <c r="CN158">
        <f t="shared" si="198"/>
        <v>0</v>
      </c>
      <c r="CO158">
        <f t="shared" si="198"/>
        <v>0</v>
      </c>
      <c r="CP158">
        <f t="shared" si="198"/>
        <v>4.1664414015656738E-3</v>
      </c>
      <c r="CQ158">
        <f t="shared" si="198"/>
        <v>1.2408382264339617E-2</v>
      </c>
      <c r="CR158">
        <f t="shared" ref="CR158:DW158" si="199">CR105/CR26</f>
        <v>1.2611000355582562E-2</v>
      </c>
      <c r="CS158">
        <f t="shared" si="199"/>
        <v>2.0416638918184512E-2</v>
      </c>
      <c r="CT158">
        <f t="shared" si="199"/>
        <v>1.0343406131316896E-2</v>
      </c>
      <c r="CU158">
        <f t="shared" si="199"/>
        <v>1.4956288984641247E-2</v>
      </c>
      <c r="CV158">
        <f t="shared" si="199"/>
        <v>1.1263320936898654E-2</v>
      </c>
      <c r="CW158">
        <f t="shared" si="199"/>
        <v>1.7881502312692497E-2</v>
      </c>
      <c r="CX158">
        <f t="shared" si="199"/>
        <v>2.1409227140816476E-2</v>
      </c>
      <c r="CY158">
        <f t="shared" si="199"/>
        <v>1.2626194144953343E-2</v>
      </c>
      <c r="CZ158">
        <f t="shared" si="199"/>
        <v>1.3332066783143521E-2</v>
      </c>
      <c r="DA158">
        <f t="shared" si="199"/>
        <v>1.2474576365385005E-2</v>
      </c>
      <c r="DB158">
        <f t="shared" si="199"/>
        <v>1.4041696429625829E-2</v>
      </c>
      <c r="DC158">
        <f t="shared" si="199"/>
        <v>0</v>
      </c>
      <c r="DD158">
        <f t="shared" si="199"/>
        <v>1.1145854718153859E-2</v>
      </c>
      <c r="DE158">
        <f t="shared" si="199"/>
        <v>7.8229584516460449E-3</v>
      </c>
      <c r="DF158">
        <f t="shared" si="199"/>
        <v>0</v>
      </c>
      <c r="DG158">
        <f t="shared" si="199"/>
        <v>0</v>
      </c>
      <c r="DH158">
        <f t="shared" si="199"/>
        <v>1.7638705933879721E-2</v>
      </c>
      <c r="DI158">
        <f t="shared" si="199"/>
        <v>2.1509372949632833E-2</v>
      </c>
      <c r="DJ158">
        <f t="shared" si="199"/>
        <v>1.5675555104324303E-2</v>
      </c>
      <c r="DK158">
        <f t="shared" si="199"/>
        <v>1.3782574262063899E-2</v>
      </c>
      <c r="DL158">
        <f t="shared" si="199"/>
        <v>1.0374279322533026E-2</v>
      </c>
      <c r="DM158">
        <f t="shared" si="199"/>
        <v>3.4275353809056189E-3</v>
      </c>
      <c r="DN158">
        <f t="shared" si="199"/>
        <v>6.6422593414237887E-3</v>
      </c>
      <c r="DO158">
        <f t="shared" si="199"/>
        <v>3.2831605388005166E-3</v>
      </c>
      <c r="DP158">
        <f t="shared" si="199"/>
        <v>7.5153810369057846E-3</v>
      </c>
      <c r="DQ158">
        <f t="shared" si="199"/>
        <v>5.79968945535945E-3</v>
      </c>
      <c r="DR158">
        <f t="shared" si="199"/>
        <v>2.9642300633154366E-2</v>
      </c>
      <c r="DS158">
        <f t="shared" si="199"/>
        <v>2.152841934762342E-2</v>
      </c>
      <c r="DT158">
        <f t="shared" si="199"/>
        <v>0</v>
      </c>
      <c r="DU158">
        <f t="shared" si="199"/>
        <v>0</v>
      </c>
      <c r="DV158">
        <f t="shared" si="199"/>
        <v>6.81019598372486E-3</v>
      </c>
      <c r="DW158">
        <f t="shared" si="199"/>
        <v>0</v>
      </c>
      <c r="DX158">
        <f t="shared" ref="DX158:FC158" si="200">DX105/DX26</f>
        <v>0</v>
      </c>
      <c r="DY158">
        <f t="shared" si="200"/>
        <v>1.3183966862578566E-3</v>
      </c>
      <c r="DZ158">
        <f t="shared" si="200"/>
        <v>7.0958657448569251E-3</v>
      </c>
      <c r="EA158">
        <f t="shared" si="200"/>
        <v>1.7106843471934668E-2</v>
      </c>
      <c r="EB158">
        <f t="shared" si="200"/>
        <v>2.0710764081431854E-2</v>
      </c>
      <c r="EC158">
        <f t="shared" si="200"/>
        <v>1.2305038370968829E-2</v>
      </c>
      <c r="ED158">
        <f t="shared" si="200"/>
        <v>3.3528427723288783E-2</v>
      </c>
      <c r="EE158">
        <f t="shared" si="200"/>
        <v>2.7968376459862724E-2</v>
      </c>
      <c r="EF158">
        <f t="shared" si="200"/>
        <v>1.9113051889697533E-2</v>
      </c>
      <c r="EG158">
        <f t="shared" si="200"/>
        <v>3.5052470577838842E-2</v>
      </c>
      <c r="EH158">
        <f t="shared" si="200"/>
        <v>0</v>
      </c>
      <c r="EI158">
        <f t="shared" si="200"/>
        <v>3.2143105997879083E-2</v>
      </c>
      <c r="EJ158">
        <f t="shared" si="200"/>
        <v>2.6735937763005868E-2</v>
      </c>
      <c r="EK158">
        <f t="shared" si="200"/>
        <v>0</v>
      </c>
      <c r="EL158">
        <f t="shared" si="200"/>
        <v>3.3939537934616126E-2</v>
      </c>
      <c r="EM158">
        <f t="shared" si="200"/>
        <v>5.2513231219830632E-5</v>
      </c>
      <c r="EN158">
        <f t="shared" si="200"/>
        <v>1.0709412089052372E-5</v>
      </c>
      <c r="EO158">
        <f t="shared" si="200"/>
        <v>6.2452077185614026E-6</v>
      </c>
      <c r="EP158">
        <f t="shared" si="200"/>
        <v>9.1871176660053389E-6</v>
      </c>
      <c r="EQ158">
        <f t="shared" si="200"/>
        <v>1.1885550460652378E-5</v>
      </c>
      <c r="ER158">
        <f t="shared" si="200"/>
        <v>8.2762519560628507E-5</v>
      </c>
      <c r="ES158">
        <f t="shared" si="200"/>
        <v>6.5486797862515574E-5</v>
      </c>
      <c r="ET158">
        <f t="shared" si="200"/>
        <v>2.4675154020875281E-4</v>
      </c>
      <c r="EU158">
        <f t="shared" si="200"/>
        <v>3.4947991177136368E-4</v>
      </c>
      <c r="EV158">
        <f t="shared" si="200"/>
        <v>2.0526312301184427E-4</v>
      </c>
      <c r="EW158">
        <f t="shared" si="200"/>
        <v>1.8584101058569542E-4</v>
      </c>
      <c r="EX158">
        <f t="shared" si="200"/>
        <v>1.5805618729211894E-4</v>
      </c>
      <c r="EY158">
        <f t="shared" si="200"/>
        <v>1.6187883448166062E-3</v>
      </c>
      <c r="EZ158">
        <f t="shared" si="200"/>
        <v>1.7673586481170666E-3</v>
      </c>
      <c r="FA158">
        <f t="shared" si="200"/>
        <v>1.0436241529975361E-2</v>
      </c>
      <c r="FB158">
        <f t="shared" si="200"/>
        <v>2.9577038468561837E-4</v>
      </c>
      <c r="FC158">
        <f t="shared" si="200"/>
        <v>1.4256086820310405E-3</v>
      </c>
      <c r="FD158">
        <f t="shared" ref="FD158:FK158" si="201">FD105/FD26</f>
        <v>7.0305841409273951E-3</v>
      </c>
      <c r="FE158">
        <f t="shared" si="201"/>
        <v>4.8682042704881225E-3</v>
      </c>
      <c r="FF158">
        <f t="shared" si="201"/>
        <v>7.0918830442082267E-3</v>
      </c>
      <c r="FG158">
        <f t="shared" si="201"/>
        <v>1.7609747820739893E-3</v>
      </c>
      <c r="FH158">
        <f t="shared" si="201"/>
        <v>4.1241063512749664E-3</v>
      </c>
      <c r="FI158">
        <f t="shared" si="201"/>
        <v>0</v>
      </c>
      <c r="FJ158">
        <f t="shared" si="201"/>
        <v>9.7720458279001218E-3</v>
      </c>
      <c r="FK158">
        <f t="shared" si="201"/>
        <v>2.1611356004905612E-2</v>
      </c>
    </row>
    <row r="159" spans="3:167" x14ac:dyDescent="0.2">
      <c r="C159" s="10">
        <f t="shared" si="132"/>
        <v>0</v>
      </c>
      <c r="D159" s="10">
        <f t="shared" si="133"/>
        <v>1.9080562529346883</v>
      </c>
      <c r="E159" s="10" cm="1">
        <f t="array" ref="E159">gavg(AF159,EL159)</f>
        <v>1.7471307187870662E-2</v>
      </c>
      <c r="F159" s="10" cm="1">
        <f t="array" ref="F159">lnstdev(AF159,EL159)</f>
        <v>1.9725348402245435</v>
      </c>
      <c r="G159" s="10">
        <f t="shared" si="134"/>
        <v>111</v>
      </c>
      <c r="H159" s="10">
        <f t="shared" si="135"/>
        <v>0</v>
      </c>
      <c r="I159" s="10">
        <f t="shared" si="136"/>
        <v>0.96387996319186287</v>
      </c>
      <c r="J159" s="10"/>
      <c r="K159" s="10"/>
      <c r="L159" s="10">
        <f t="shared" si="137"/>
        <v>10</v>
      </c>
      <c r="M159" s="10">
        <f t="shared" si="138"/>
        <v>0</v>
      </c>
      <c r="N159" s="10">
        <f t="shared" si="139"/>
        <v>0.10548040319202305</v>
      </c>
      <c r="O159" s="10">
        <f t="shared" si="140"/>
        <v>23</v>
      </c>
      <c r="P159" s="10">
        <f t="shared" si="141"/>
        <v>0</v>
      </c>
      <c r="Q159" s="10">
        <f t="shared" si="142"/>
        <v>5.3860426674020257E-3</v>
      </c>
      <c r="R159" s="10">
        <f t="shared" si="143"/>
        <v>29</v>
      </c>
      <c r="S159" s="10">
        <f t="shared" si="144"/>
        <v>0</v>
      </c>
      <c r="T159" s="10">
        <f t="shared" si="145"/>
        <v>0.23254493062281684</v>
      </c>
      <c r="U159" s="10">
        <f t="shared" si="146"/>
        <v>31</v>
      </c>
      <c r="V159" s="10">
        <f t="shared" si="123"/>
        <v>0</v>
      </c>
      <c r="W159" s="10">
        <f t="shared" si="124"/>
        <v>1.9080562529346883</v>
      </c>
      <c r="X159" s="10">
        <f t="shared" si="125"/>
        <v>18</v>
      </c>
      <c r="Y159" s="10">
        <f t="shared" si="126"/>
        <v>0</v>
      </c>
      <c r="Z159" s="10">
        <f t="shared" si="127"/>
        <v>0.25750600749155245</v>
      </c>
      <c r="AA159" s="10">
        <f t="shared" si="128"/>
        <v>4</v>
      </c>
      <c r="AB159" s="10">
        <f t="shared" si="129"/>
        <v>0</v>
      </c>
      <c r="AC159" s="10">
        <f t="shared" si="130"/>
        <v>1.9080562529346883</v>
      </c>
      <c r="AD159" s="10">
        <f t="shared" si="131"/>
        <v>14</v>
      </c>
      <c r="AE159" s="5" t="s">
        <v>283</v>
      </c>
      <c r="AF159">
        <f t="shared" ref="AF159:BK159" si="202">AF104/AF27</f>
        <v>0</v>
      </c>
      <c r="AG159">
        <f t="shared" si="202"/>
        <v>0</v>
      </c>
      <c r="AH159">
        <f t="shared" si="202"/>
        <v>0</v>
      </c>
      <c r="AI159">
        <f t="shared" si="202"/>
        <v>0</v>
      </c>
      <c r="AJ159">
        <f t="shared" si="202"/>
        <v>0</v>
      </c>
      <c r="AK159">
        <f t="shared" si="202"/>
        <v>0</v>
      </c>
      <c r="AL159">
        <f t="shared" si="202"/>
        <v>0.68559152042386706</v>
      </c>
      <c r="AM159">
        <f t="shared" si="202"/>
        <v>0.6695795444906375</v>
      </c>
      <c r="AN159">
        <f t="shared" si="202"/>
        <v>0.63511595604262971</v>
      </c>
      <c r="AO159">
        <f t="shared" si="202"/>
        <v>0.96387996319186287</v>
      </c>
      <c r="AP159">
        <f t="shared" si="202"/>
        <v>0.10548040319202305</v>
      </c>
      <c r="AQ159">
        <f t="shared" si="202"/>
        <v>2.855552288847377E-2</v>
      </c>
      <c r="AR159">
        <f t="shared" si="202"/>
        <v>1.4312967435879172E-3</v>
      </c>
      <c r="AS159">
        <f t="shared" si="202"/>
        <v>3.7325910323209258E-3</v>
      </c>
      <c r="AT159">
        <f t="shared" si="202"/>
        <v>1.4260739961526434E-3</v>
      </c>
      <c r="AU159">
        <f t="shared" si="202"/>
        <v>0</v>
      </c>
      <c r="AV159">
        <f t="shared" si="202"/>
        <v>5.1954464340472611E-3</v>
      </c>
      <c r="AW159">
        <f t="shared" si="202"/>
        <v>0</v>
      </c>
      <c r="AX159">
        <f t="shared" si="202"/>
        <v>0</v>
      </c>
      <c r="AY159">
        <f t="shared" si="202"/>
        <v>0</v>
      </c>
      <c r="AZ159">
        <f t="shared" si="202"/>
        <v>0</v>
      </c>
      <c r="BA159">
        <f t="shared" si="202"/>
        <v>0</v>
      </c>
      <c r="BB159">
        <f t="shared" si="202"/>
        <v>4.5627626665260207E-3</v>
      </c>
      <c r="BC159">
        <f t="shared" si="202"/>
        <v>0</v>
      </c>
      <c r="BD159">
        <f t="shared" si="202"/>
        <v>0</v>
      </c>
      <c r="BE159">
        <f t="shared" si="202"/>
        <v>0</v>
      </c>
      <c r="BF159">
        <f t="shared" si="202"/>
        <v>0</v>
      </c>
      <c r="BG159">
        <f t="shared" si="202"/>
        <v>0</v>
      </c>
      <c r="BH159">
        <f t="shared" si="202"/>
        <v>0</v>
      </c>
      <c r="BI159">
        <f t="shared" si="202"/>
        <v>9.5242410751083632E-3</v>
      </c>
      <c r="BJ159">
        <f t="shared" si="202"/>
        <v>3.5799731066962258E-3</v>
      </c>
      <c r="BK159">
        <f t="shared" si="202"/>
        <v>6.9463622316907276E-3</v>
      </c>
      <c r="BL159">
        <f t="shared" ref="BL159:CQ159" si="203">BL104/BL27</f>
        <v>0</v>
      </c>
      <c r="BM159">
        <f t="shared" si="203"/>
        <v>5.3860426674020257E-3</v>
      </c>
      <c r="BN159">
        <f t="shared" si="203"/>
        <v>2.4620102850493111E-3</v>
      </c>
      <c r="BO159">
        <f t="shared" si="203"/>
        <v>0</v>
      </c>
      <c r="BP159">
        <f t="shared" si="203"/>
        <v>2.9639939090101777E-3</v>
      </c>
      <c r="BQ159">
        <f t="shared" si="203"/>
        <v>3.2310473922662524E-3</v>
      </c>
      <c r="BR159">
        <f t="shared" si="203"/>
        <v>1.7349669532965885E-3</v>
      </c>
      <c r="BS159">
        <f t="shared" si="203"/>
        <v>1.7491005726475647E-3</v>
      </c>
      <c r="BT159">
        <f t="shared" si="203"/>
        <v>1.7333937134392731E-3</v>
      </c>
      <c r="BU159">
        <f t="shared" si="203"/>
        <v>1.5677637854961443E-3</v>
      </c>
      <c r="BV159">
        <f t="shared" si="203"/>
        <v>1.5515575809982019E-3</v>
      </c>
      <c r="BW159">
        <f t="shared" si="203"/>
        <v>1.2365111205083388E-3</v>
      </c>
      <c r="BX159">
        <f t="shared" si="203"/>
        <v>1.1154114741340289E-3</v>
      </c>
      <c r="BY159">
        <f t="shared" si="203"/>
        <v>1.0169787238783453E-3</v>
      </c>
      <c r="BZ159">
        <f t="shared" si="203"/>
        <v>1.4506221565843832E-3</v>
      </c>
      <c r="CA159">
        <f t="shared" si="203"/>
        <v>1.9842112700936563E-3</v>
      </c>
      <c r="CB159">
        <f t="shared" si="203"/>
        <v>1.8569984706880464E-3</v>
      </c>
      <c r="CC159">
        <f t="shared" si="203"/>
        <v>9.4493834088172908E-4</v>
      </c>
      <c r="CD159">
        <f t="shared" si="203"/>
        <v>8.7436399357182417E-4</v>
      </c>
      <c r="CE159">
        <f t="shared" si="203"/>
        <v>7.6837499328892924E-4</v>
      </c>
      <c r="CF159">
        <f t="shared" si="203"/>
        <v>7.5668860509863997E-4</v>
      </c>
      <c r="CG159">
        <f t="shared" si="203"/>
        <v>0</v>
      </c>
      <c r="CH159">
        <f t="shared" si="203"/>
        <v>0</v>
      </c>
      <c r="CI159">
        <f t="shared" si="203"/>
        <v>0</v>
      </c>
      <c r="CJ159">
        <f t="shared" si="203"/>
        <v>0</v>
      </c>
      <c r="CK159">
        <f t="shared" si="203"/>
        <v>0</v>
      </c>
      <c r="CL159">
        <f t="shared" si="203"/>
        <v>0</v>
      </c>
      <c r="CM159">
        <f t="shared" si="203"/>
        <v>0</v>
      </c>
      <c r="CN159">
        <f t="shared" si="203"/>
        <v>0</v>
      </c>
      <c r="CO159">
        <f t="shared" si="203"/>
        <v>0</v>
      </c>
      <c r="CP159">
        <f t="shared" si="203"/>
        <v>4.9788811648968166E-2</v>
      </c>
      <c r="CQ159">
        <f t="shared" si="203"/>
        <v>3.3044823680590578E-2</v>
      </c>
      <c r="CR159">
        <f t="shared" ref="CR159:DW159" si="204">CR104/CR27</f>
        <v>2.5117901698678075E-2</v>
      </c>
      <c r="CS159">
        <f t="shared" si="204"/>
        <v>3.9509936067468922E-2</v>
      </c>
      <c r="CT159">
        <f t="shared" si="204"/>
        <v>2.2068501176928657E-2</v>
      </c>
      <c r="CU159">
        <f t="shared" si="204"/>
        <v>2.6238623482165099E-2</v>
      </c>
      <c r="CV159">
        <f t="shared" si="204"/>
        <v>1.5590110225818079E-2</v>
      </c>
      <c r="CW159">
        <f t="shared" si="204"/>
        <v>4.3498667982800575E-2</v>
      </c>
      <c r="CX159">
        <f t="shared" si="204"/>
        <v>3.007611043964787E-2</v>
      </c>
      <c r="CY159">
        <f t="shared" si="204"/>
        <v>2.3162874133995003E-2</v>
      </c>
      <c r="CZ159">
        <f t="shared" si="204"/>
        <v>2.2951614345085424E-2</v>
      </c>
      <c r="DA159">
        <f t="shared" si="204"/>
        <v>2.6629056131968216E-2</v>
      </c>
      <c r="DB159">
        <f t="shared" si="204"/>
        <v>2.3301419072691381E-2</v>
      </c>
      <c r="DC159">
        <f t="shared" si="204"/>
        <v>0</v>
      </c>
      <c r="DD159">
        <f t="shared" si="204"/>
        <v>1.1269928411523711E-2</v>
      </c>
      <c r="DE159">
        <f t="shared" si="204"/>
        <v>8.8505987805912442E-2</v>
      </c>
      <c r="DF159">
        <f t="shared" si="204"/>
        <v>0</v>
      </c>
      <c r="DG159">
        <f t="shared" si="204"/>
        <v>0</v>
      </c>
      <c r="DH159">
        <f t="shared" si="204"/>
        <v>2.3423326972592112E-2</v>
      </c>
      <c r="DI159">
        <f t="shared" si="204"/>
        <v>1.8901294499066443E-2</v>
      </c>
      <c r="DJ159">
        <f t="shared" si="204"/>
        <v>1.4831365308877693E-2</v>
      </c>
      <c r="DK159">
        <f t="shared" si="204"/>
        <v>1.514892324485974E-2</v>
      </c>
      <c r="DL159">
        <f t="shared" si="204"/>
        <v>1.0248029823718035E-2</v>
      </c>
      <c r="DM159">
        <f t="shared" si="204"/>
        <v>0.23254493062281684</v>
      </c>
      <c r="DN159">
        <f t="shared" si="204"/>
        <v>6.9801949221128728E-2</v>
      </c>
      <c r="DO159">
        <f t="shared" si="204"/>
        <v>0.15446517788292138</v>
      </c>
      <c r="DP159">
        <f t="shared" si="204"/>
        <v>9.8238916132368015E-2</v>
      </c>
      <c r="DQ159">
        <f t="shared" si="204"/>
        <v>5.889912641228822E-2</v>
      </c>
      <c r="DR159">
        <f t="shared" si="204"/>
        <v>1.7198006735332411E-2</v>
      </c>
      <c r="DS159">
        <f t="shared" si="204"/>
        <v>1.5726983818488319E-2</v>
      </c>
      <c r="DT159">
        <f t="shared" si="204"/>
        <v>0</v>
      </c>
      <c r="DU159">
        <f t="shared" si="204"/>
        <v>0</v>
      </c>
      <c r="DV159">
        <f t="shared" si="204"/>
        <v>0.25750600749155245</v>
      </c>
      <c r="DW159">
        <f t="shared" si="204"/>
        <v>0</v>
      </c>
      <c r="DX159">
        <f t="shared" ref="DX159:FC159" si="205">DX104/DX27</f>
        <v>0</v>
      </c>
      <c r="DY159">
        <f t="shared" si="205"/>
        <v>1.9080562529346883</v>
      </c>
      <c r="DZ159">
        <f t="shared" si="205"/>
        <v>0.26276047847292433</v>
      </c>
      <c r="EA159">
        <f t="shared" si="205"/>
        <v>0.11684405752394397</v>
      </c>
      <c r="EB159">
        <f t="shared" si="205"/>
        <v>0.11688984025590474</v>
      </c>
      <c r="EC159">
        <f t="shared" si="205"/>
        <v>6.3165482985650723E-2</v>
      </c>
      <c r="ED159">
        <f t="shared" si="205"/>
        <v>6.6144148020409577E-2</v>
      </c>
      <c r="EE159">
        <f t="shared" si="205"/>
        <v>6.3843244240902694E-2</v>
      </c>
      <c r="EF159">
        <f t="shared" si="205"/>
        <v>6.4154223275025624E-2</v>
      </c>
      <c r="EG159">
        <f t="shared" si="205"/>
        <v>0.10173446835862809</v>
      </c>
      <c r="EH159">
        <f t="shared" si="205"/>
        <v>0</v>
      </c>
      <c r="EI159">
        <f t="shared" si="205"/>
        <v>8.8277059409692174E-2</v>
      </c>
      <c r="EJ159">
        <f t="shared" si="205"/>
        <v>6.2582596151597003E-2</v>
      </c>
      <c r="EK159">
        <f t="shared" si="205"/>
        <v>0</v>
      </c>
      <c r="EL159">
        <f t="shared" si="205"/>
        <v>5.3671123078966231E-2</v>
      </c>
      <c r="EM159">
        <f t="shared" si="205"/>
        <v>6.8190180660088279E-2</v>
      </c>
      <c r="EN159">
        <f t="shared" si="205"/>
        <v>1.4410790095149154E-2</v>
      </c>
      <c r="EO159">
        <f t="shared" si="205"/>
        <v>1.0076187527967731E-2</v>
      </c>
      <c r="EP159">
        <f t="shared" si="205"/>
        <v>8.3774831969349282E-3</v>
      </c>
      <c r="EQ159">
        <f t="shared" si="205"/>
        <v>9.5727174233858243E-3</v>
      </c>
      <c r="ER159">
        <f t="shared" si="205"/>
        <v>6.8689192315348868E-2</v>
      </c>
      <c r="ES159">
        <f t="shared" si="205"/>
        <v>9.2197423982359389E-2</v>
      </c>
      <c r="ET159">
        <f t="shared" si="205"/>
        <v>3.6279432643235847E-2</v>
      </c>
      <c r="EU159">
        <f t="shared" si="205"/>
        <v>4.7885695078210541E-2</v>
      </c>
      <c r="EV159">
        <f t="shared" si="205"/>
        <v>3.6718576548714334E-2</v>
      </c>
      <c r="EW159">
        <f t="shared" si="205"/>
        <v>0.10928427579815216</v>
      </c>
      <c r="EX159">
        <f t="shared" si="205"/>
        <v>0.14830634596399625</v>
      </c>
      <c r="EY159">
        <f t="shared" si="205"/>
        <v>6.701695824974839E-2</v>
      </c>
      <c r="EZ159">
        <f t="shared" si="205"/>
        <v>8.5700986039825386E-2</v>
      </c>
      <c r="FA159">
        <f t="shared" si="205"/>
        <v>0.10054082948662614</v>
      </c>
      <c r="FB159">
        <f t="shared" si="205"/>
        <v>0.131754857239021</v>
      </c>
      <c r="FC159">
        <f t="shared" si="205"/>
        <v>0.19002557363760975</v>
      </c>
      <c r="FD159">
        <f t="shared" ref="FD159:FK159" si="206">FD104/FD27</f>
        <v>5.0706049204169587E-2</v>
      </c>
      <c r="FE159">
        <f t="shared" si="206"/>
        <v>3.5949690040011903E-2</v>
      </c>
      <c r="FF159">
        <f t="shared" si="206"/>
        <v>2.6926903582392366E-2</v>
      </c>
      <c r="FG159">
        <f t="shared" si="206"/>
        <v>0.25368894186590779</v>
      </c>
      <c r="FH159">
        <f t="shared" si="206"/>
        <v>0.35802906605069745</v>
      </c>
      <c r="FI159">
        <f t="shared" si="206"/>
        <v>0</v>
      </c>
      <c r="FJ159">
        <f t="shared" si="206"/>
        <v>3.9870428077028182E-2</v>
      </c>
      <c r="FK159">
        <f t="shared" si="206"/>
        <v>4.519250565750519E-2</v>
      </c>
    </row>
    <row r="160" spans="3:167" x14ac:dyDescent="0.2">
      <c r="C160" s="10">
        <f t="shared" si="132"/>
        <v>0</v>
      </c>
      <c r="D160" s="10">
        <f t="shared" si="133"/>
        <v>0.79194060605229277</v>
      </c>
      <c r="E160" s="10" cm="1">
        <f t="array" ref="E160">gavg(AF160,EL160)</f>
        <v>0.11570905372758683</v>
      </c>
      <c r="F160" s="10" cm="1">
        <f t="array" ref="F160">lnstdev(AF160,EL160)</f>
        <v>1.6009235671053264</v>
      </c>
      <c r="G160" s="10">
        <f t="shared" si="134"/>
        <v>111</v>
      </c>
      <c r="H160" s="10">
        <f t="shared" si="135"/>
        <v>0</v>
      </c>
      <c r="I160" s="10">
        <f t="shared" si="136"/>
        <v>0.79194060605229277</v>
      </c>
      <c r="J160" s="10"/>
      <c r="K160" s="10"/>
      <c r="L160" s="10">
        <f t="shared" si="137"/>
        <v>10</v>
      </c>
      <c r="M160" s="10">
        <f t="shared" si="138"/>
        <v>0</v>
      </c>
      <c r="N160" s="10">
        <f t="shared" si="139"/>
        <v>1.9189033134348742E-2</v>
      </c>
      <c r="O160" s="10">
        <f t="shared" si="140"/>
        <v>23</v>
      </c>
      <c r="P160" s="10">
        <f t="shared" si="141"/>
        <v>0</v>
      </c>
      <c r="Q160" s="10">
        <f t="shared" si="142"/>
        <v>0.11019060028596761</v>
      </c>
      <c r="R160" s="10">
        <f t="shared" si="143"/>
        <v>29</v>
      </c>
      <c r="S160" s="10">
        <f t="shared" si="144"/>
        <v>0</v>
      </c>
      <c r="T160" s="10">
        <f t="shared" si="145"/>
        <v>0.55584292248713574</v>
      </c>
      <c r="U160" s="10">
        <f t="shared" si="146"/>
        <v>31</v>
      </c>
      <c r="V160" s="10">
        <f t="shared" si="123"/>
        <v>0</v>
      </c>
      <c r="W160" s="10">
        <f t="shared" si="124"/>
        <v>0.73369473888753933</v>
      </c>
      <c r="X160" s="10">
        <f t="shared" si="125"/>
        <v>18</v>
      </c>
      <c r="Y160" s="10">
        <f t="shared" si="126"/>
        <v>0</v>
      </c>
      <c r="Z160" s="10">
        <f t="shared" si="127"/>
        <v>0.27509220713017107</v>
      </c>
      <c r="AA160" s="10">
        <f t="shared" si="128"/>
        <v>4</v>
      </c>
      <c r="AB160" s="10">
        <f t="shared" si="129"/>
        <v>0</v>
      </c>
      <c r="AC160" s="10">
        <f t="shared" si="130"/>
        <v>0.73369473888753933</v>
      </c>
      <c r="AD160" s="10">
        <f t="shared" si="131"/>
        <v>14</v>
      </c>
      <c r="AE160" s="5" t="s">
        <v>284</v>
      </c>
      <c r="AF160">
        <f t="shared" ref="AF160:BK160" si="207">AF105/AF27</f>
        <v>0</v>
      </c>
      <c r="AG160">
        <f t="shared" si="207"/>
        <v>0</v>
      </c>
      <c r="AH160">
        <f t="shared" si="207"/>
        <v>0</v>
      </c>
      <c r="AI160">
        <f t="shared" si="207"/>
        <v>0</v>
      </c>
      <c r="AJ160">
        <f t="shared" si="207"/>
        <v>0</v>
      </c>
      <c r="AK160">
        <f t="shared" si="207"/>
        <v>0</v>
      </c>
      <c r="AL160">
        <f t="shared" si="207"/>
        <v>0.79194060605229277</v>
      </c>
      <c r="AM160">
        <f t="shared" si="207"/>
        <v>0.76131572504880707</v>
      </c>
      <c r="AN160">
        <f t="shared" si="207"/>
        <v>0.61834177672506641</v>
      </c>
      <c r="AO160">
        <f t="shared" si="207"/>
        <v>0.78062052368265034</v>
      </c>
      <c r="AP160">
        <f t="shared" si="207"/>
        <v>3.6286213446470434E-3</v>
      </c>
      <c r="AQ160">
        <f t="shared" si="207"/>
        <v>1.2567666057587985E-3</v>
      </c>
      <c r="AR160">
        <f t="shared" si="207"/>
        <v>4.844951499965203E-3</v>
      </c>
      <c r="AS160">
        <f t="shared" si="207"/>
        <v>7.2763215493563569E-3</v>
      </c>
      <c r="AT160">
        <f t="shared" si="207"/>
        <v>1.8732470642878512E-2</v>
      </c>
      <c r="AU160">
        <f t="shared" si="207"/>
        <v>0</v>
      </c>
      <c r="AV160">
        <f t="shared" si="207"/>
        <v>8.279332347724315E-3</v>
      </c>
      <c r="AW160">
        <f t="shared" si="207"/>
        <v>0</v>
      </c>
      <c r="AX160">
        <f t="shared" si="207"/>
        <v>0</v>
      </c>
      <c r="AY160">
        <f t="shared" si="207"/>
        <v>0</v>
      </c>
      <c r="AZ160">
        <f t="shared" si="207"/>
        <v>0</v>
      </c>
      <c r="BA160">
        <f t="shared" si="207"/>
        <v>0</v>
      </c>
      <c r="BB160">
        <f t="shared" si="207"/>
        <v>1.5199179760646138E-2</v>
      </c>
      <c r="BC160">
        <f t="shared" si="207"/>
        <v>0</v>
      </c>
      <c r="BD160">
        <f t="shared" si="207"/>
        <v>0</v>
      </c>
      <c r="BE160">
        <f t="shared" si="207"/>
        <v>0</v>
      </c>
      <c r="BF160">
        <f t="shared" si="207"/>
        <v>0</v>
      </c>
      <c r="BG160">
        <f t="shared" si="207"/>
        <v>0</v>
      </c>
      <c r="BH160">
        <f t="shared" si="207"/>
        <v>0</v>
      </c>
      <c r="BI160">
        <f t="shared" si="207"/>
        <v>2.3854760341536019E-3</v>
      </c>
      <c r="BJ160">
        <f t="shared" si="207"/>
        <v>1.9189033134348742E-2</v>
      </c>
      <c r="BK160">
        <f t="shared" si="207"/>
        <v>1.2016648238886566E-3</v>
      </c>
      <c r="BL160">
        <f t="shared" ref="BL160:CQ160" si="208">BL105/BL27</f>
        <v>0</v>
      </c>
      <c r="BM160">
        <f t="shared" si="208"/>
        <v>0.11019060028596761</v>
      </c>
      <c r="BN160">
        <f t="shared" si="208"/>
        <v>6.8055200564406643E-2</v>
      </c>
      <c r="BO160">
        <f t="shared" si="208"/>
        <v>0</v>
      </c>
      <c r="BP160">
        <f t="shared" si="208"/>
        <v>6.0154245471107343E-2</v>
      </c>
      <c r="BQ160">
        <f t="shared" si="208"/>
        <v>0.10996946095316083</v>
      </c>
      <c r="BR160">
        <f t="shared" si="208"/>
        <v>6.7346794493076262E-2</v>
      </c>
      <c r="BS160">
        <f t="shared" si="208"/>
        <v>5.7288452788798024E-2</v>
      </c>
      <c r="BT160">
        <f t="shared" si="208"/>
        <v>6.4656198837911752E-2</v>
      </c>
      <c r="BU160">
        <f t="shared" si="208"/>
        <v>4.1976128555929408E-2</v>
      </c>
      <c r="BV160">
        <f t="shared" si="208"/>
        <v>5.0624010538388192E-2</v>
      </c>
      <c r="BW160">
        <f t="shared" si="208"/>
        <v>4.4821966355747318E-2</v>
      </c>
      <c r="BX160">
        <f t="shared" si="208"/>
        <v>3.7002567769934901E-2</v>
      </c>
      <c r="BY160">
        <f t="shared" si="208"/>
        <v>2.8396202362369151E-2</v>
      </c>
      <c r="BZ160">
        <f t="shared" si="208"/>
        <v>4.6088178640225685E-2</v>
      </c>
      <c r="CA160">
        <f t="shared" si="208"/>
        <v>5.3780808880508069E-2</v>
      </c>
      <c r="CB160">
        <f t="shared" si="208"/>
        <v>5.5862944387140526E-2</v>
      </c>
      <c r="CC160">
        <f t="shared" si="208"/>
        <v>2.5782773393424895E-2</v>
      </c>
      <c r="CD160">
        <f t="shared" si="208"/>
        <v>2.7527723020963936E-2</v>
      </c>
      <c r="CE160">
        <f t="shared" si="208"/>
        <v>2.3951132933129712E-2</v>
      </c>
      <c r="CF160">
        <f t="shared" si="208"/>
        <v>2.2565438918165554E-2</v>
      </c>
      <c r="CG160">
        <f t="shared" si="208"/>
        <v>0</v>
      </c>
      <c r="CH160">
        <f t="shared" si="208"/>
        <v>0</v>
      </c>
      <c r="CI160">
        <f t="shared" si="208"/>
        <v>0</v>
      </c>
      <c r="CJ160">
        <f t="shared" si="208"/>
        <v>0</v>
      </c>
      <c r="CK160">
        <f t="shared" si="208"/>
        <v>0</v>
      </c>
      <c r="CL160">
        <f t="shared" si="208"/>
        <v>0</v>
      </c>
      <c r="CM160">
        <f t="shared" si="208"/>
        <v>0</v>
      </c>
      <c r="CN160">
        <f t="shared" si="208"/>
        <v>0</v>
      </c>
      <c r="CO160">
        <f t="shared" si="208"/>
        <v>0</v>
      </c>
      <c r="CP160">
        <f t="shared" si="208"/>
        <v>0.12756375677760551</v>
      </c>
      <c r="CQ160">
        <f t="shared" si="208"/>
        <v>0.24297910623070748</v>
      </c>
      <c r="CR160">
        <f t="shared" ref="CR160:DW160" si="209">CR105/CR27</f>
        <v>0.2891022323994189</v>
      </c>
      <c r="CS160">
        <f t="shared" si="209"/>
        <v>0.46446411183068015</v>
      </c>
      <c r="CT160">
        <f t="shared" si="209"/>
        <v>0.16716974334755805</v>
      </c>
      <c r="CU160">
        <f t="shared" si="209"/>
        <v>0.3524219109199353</v>
      </c>
      <c r="CV160">
        <f t="shared" si="209"/>
        <v>0.16769604258699977</v>
      </c>
      <c r="CW160">
        <f t="shared" si="209"/>
        <v>0.53293182103497028</v>
      </c>
      <c r="CX160">
        <f t="shared" si="209"/>
        <v>0.55584292248713574</v>
      </c>
      <c r="CY160">
        <f t="shared" si="209"/>
        <v>0.32089322992411295</v>
      </c>
      <c r="CZ160">
        <f t="shared" si="209"/>
        <v>0.3110238761141596</v>
      </c>
      <c r="DA160">
        <f t="shared" si="209"/>
        <v>0.33972479655055959</v>
      </c>
      <c r="DB160">
        <f t="shared" si="209"/>
        <v>0.30360577556556795</v>
      </c>
      <c r="DC160">
        <f t="shared" si="209"/>
        <v>0</v>
      </c>
      <c r="DD160">
        <f t="shared" si="209"/>
        <v>0.19476927077932402</v>
      </c>
      <c r="DE160">
        <f t="shared" si="209"/>
        <v>0.28421624085841668</v>
      </c>
      <c r="DF160">
        <f t="shared" si="209"/>
        <v>0</v>
      </c>
      <c r="DG160">
        <f t="shared" si="209"/>
        <v>0</v>
      </c>
      <c r="DH160">
        <f t="shared" si="209"/>
        <v>0.35740914299231225</v>
      </c>
      <c r="DI160">
        <f t="shared" si="209"/>
        <v>0.42239215797744245</v>
      </c>
      <c r="DJ160">
        <f t="shared" si="209"/>
        <v>0.28017387985535858</v>
      </c>
      <c r="DK160">
        <f t="shared" si="209"/>
        <v>0.26644351261356619</v>
      </c>
      <c r="DL160">
        <f t="shared" si="209"/>
        <v>0.15547644826625504</v>
      </c>
      <c r="DM160">
        <f t="shared" si="209"/>
        <v>0.22789760586673366</v>
      </c>
      <c r="DN160">
        <f t="shared" si="209"/>
        <v>0.27370074489829704</v>
      </c>
      <c r="DO160">
        <f t="shared" si="209"/>
        <v>0.14193903947271605</v>
      </c>
      <c r="DP160">
        <f t="shared" si="209"/>
        <v>0.35269900549715288</v>
      </c>
      <c r="DQ160">
        <f t="shared" si="209"/>
        <v>0.2073224692169503</v>
      </c>
      <c r="DR160">
        <f t="shared" si="209"/>
        <v>0.31043659786517247</v>
      </c>
      <c r="DS160">
        <f t="shared" si="209"/>
        <v>0.24375793688659514</v>
      </c>
      <c r="DT160">
        <f t="shared" si="209"/>
        <v>0</v>
      </c>
      <c r="DU160">
        <f t="shared" si="209"/>
        <v>0</v>
      </c>
      <c r="DV160">
        <f t="shared" si="209"/>
        <v>0.27509220713017107</v>
      </c>
      <c r="DW160">
        <f t="shared" si="209"/>
        <v>0</v>
      </c>
      <c r="DX160">
        <f t="shared" ref="DX160:FC160" si="210">DX105/DX27</f>
        <v>0</v>
      </c>
      <c r="DY160">
        <f t="shared" si="210"/>
        <v>0.25263607228163715</v>
      </c>
      <c r="DZ160">
        <f t="shared" si="210"/>
        <v>0.38111112530011199</v>
      </c>
      <c r="EA160">
        <f t="shared" si="210"/>
        <v>0.63232100369993549</v>
      </c>
      <c r="EB160">
        <f t="shared" si="210"/>
        <v>0.52732697939294404</v>
      </c>
      <c r="EC160">
        <f t="shared" si="210"/>
        <v>0.19996475973008271</v>
      </c>
      <c r="ED160">
        <f t="shared" si="210"/>
        <v>0.60588935401794741</v>
      </c>
      <c r="EE160">
        <f t="shared" si="210"/>
        <v>0.47240299900978083</v>
      </c>
      <c r="EF160">
        <f t="shared" si="210"/>
        <v>0.38681643234990287</v>
      </c>
      <c r="EG160">
        <f t="shared" si="210"/>
        <v>0.55294879827461152</v>
      </c>
      <c r="EH160">
        <f t="shared" si="210"/>
        <v>0</v>
      </c>
      <c r="EI160">
        <f t="shared" si="210"/>
        <v>0.73369473888753933</v>
      </c>
      <c r="EJ160">
        <f t="shared" si="210"/>
        <v>0.46658524856345368</v>
      </c>
      <c r="EK160">
        <f t="shared" si="210"/>
        <v>0</v>
      </c>
      <c r="EL160">
        <f t="shared" si="210"/>
        <v>0.48010286367181804</v>
      </c>
      <c r="EM160">
        <f t="shared" si="210"/>
        <v>1.8772737187633004E-2</v>
      </c>
      <c r="EN160">
        <f t="shared" si="210"/>
        <v>2.5446135539963616E-3</v>
      </c>
      <c r="EO160">
        <f t="shared" si="210"/>
        <v>1.2487408040876013E-3</v>
      </c>
      <c r="EP160">
        <f t="shared" si="210"/>
        <v>1.7704161076753774E-3</v>
      </c>
      <c r="EQ160">
        <f t="shared" si="210"/>
        <v>2.0430551698468603E-3</v>
      </c>
      <c r="ER160">
        <f t="shared" si="210"/>
        <v>2.8923006020052936E-2</v>
      </c>
      <c r="ES160">
        <f t="shared" si="210"/>
        <v>1.5587482407748184E-2</v>
      </c>
      <c r="ET160">
        <f t="shared" si="210"/>
        <v>2.9320983066532573E-2</v>
      </c>
      <c r="EU160">
        <f t="shared" si="210"/>
        <v>6.395196007843687E-2</v>
      </c>
      <c r="EV160">
        <f t="shared" si="210"/>
        <v>3.3221217260706107E-2</v>
      </c>
      <c r="EW160">
        <f t="shared" si="210"/>
        <v>6.9670539625322089E-2</v>
      </c>
      <c r="EX160">
        <f t="shared" si="210"/>
        <v>3.8499735526288346E-2</v>
      </c>
      <c r="EY160">
        <f t="shared" si="210"/>
        <v>0.12867374985805843</v>
      </c>
      <c r="EZ160">
        <f t="shared" si="210"/>
        <v>0.14449533151539742</v>
      </c>
      <c r="FA160">
        <f t="shared" si="210"/>
        <v>0.58158181097525852</v>
      </c>
      <c r="FB160">
        <f t="shared" si="210"/>
        <v>0.10960439700829357</v>
      </c>
      <c r="FC160">
        <f t="shared" si="210"/>
        <v>0.12018172586915554</v>
      </c>
      <c r="FD160">
        <f t="shared" ref="FD160:FK160" si="211">FD105/FD27</f>
        <v>0.19494720984842653</v>
      </c>
      <c r="FE160">
        <f t="shared" si="211"/>
        <v>9.5884416094535962E-2</v>
      </c>
      <c r="FF160">
        <f t="shared" si="211"/>
        <v>0.12927277613406035</v>
      </c>
      <c r="FG160">
        <f t="shared" si="211"/>
        <v>0.44316120324053238</v>
      </c>
      <c r="FH160">
        <f t="shared" si="211"/>
        <v>0.32997383422576521</v>
      </c>
      <c r="FI160">
        <f t="shared" si="211"/>
        <v>0</v>
      </c>
      <c r="FJ160">
        <f t="shared" si="211"/>
        <v>0.15048867192501689</v>
      </c>
      <c r="FK160">
        <f t="shared" si="211"/>
        <v>0.30468505827492176</v>
      </c>
    </row>
    <row r="161" spans="3:167" x14ac:dyDescent="0.2">
      <c r="C161" s="10">
        <f t="shared" si="132"/>
        <v>0.9840790980584404</v>
      </c>
      <c r="D161" s="10">
        <f t="shared" si="133"/>
        <v>15.540961459150299</v>
      </c>
      <c r="E161" s="10" cm="1">
        <f t="array" ref="E161">gavg(AF161,EL161)</f>
        <v>1.8772564792577251</v>
      </c>
      <c r="F161" s="10" cm="1">
        <f t="array" ref="F161">lnstdev(AF161,EL161)</f>
        <v>0.73351779268341633</v>
      </c>
      <c r="G161" s="10">
        <f t="shared" si="134"/>
        <v>111</v>
      </c>
      <c r="H161" s="10">
        <f t="shared" si="135"/>
        <v>0.99570239922050974</v>
      </c>
      <c r="I161" s="10">
        <f t="shared" si="136"/>
        <v>1.2153636351591333</v>
      </c>
      <c r="J161" s="10"/>
      <c r="K161" s="10"/>
      <c r="L161" s="10">
        <f t="shared" si="137"/>
        <v>10</v>
      </c>
      <c r="M161" s="10">
        <f t="shared" si="138"/>
        <v>0.9840790980584404</v>
      </c>
      <c r="N161" s="10">
        <f t="shared" si="139"/>
        <v>1.6383823641760884</v>
      </c>
      <c r="O161" s="10">
        <f t="shared" si="140"/>
        <v>23</v>
      </c>
      <c r="P161" s="10">
        <f t="shared" si="141"/>
        <v>1.0121013846701448</v>
      </c>
      <c r="Q161" s="10">
        <f t="shared" si="142"/>
        <v>6.1585118348552808</v>
      </c>
      <c r="R161" s="10">
        <f t="shared" si="143"/>
        <v>29</v>
      </c>
      <c r="S161" s="10">
        <f t="shared" si="144"/>
        <v>1.0014912596356473</v>
      </c>
      <c r="T161" s="10">
        <f t="shared" si="145"/>
        <v>15.540961459150299</v>
      </c>
      <c r="U161" s="10">
        <f t="shared" si="146"/>
        <v>31</v>
      </c>
      <c r="V161" s="10">
        <f t="shared" si="123"/>
        <v>1.0102571884537961</v>
      </c>
      <c r="W161" s="10">
        <f t="shared" si="124"/>
        <v>8.8077505948243591</v>
      </c>
      <c r="X161" s="10">
        <f t="shared" si="125"/>
        <v>18</v>
      </c>
      <c r="Y161" s="10">
        <f t="shared" si="126"/>
        <v>1.1296643121572034</v>
      </c>
      <c r="Z161" s="10">
        <f t="shared" si="127"/>
        <v>8.8077505948243591</v>
      </c>
      <c r="AA161" s="10">
        <f t="shared" si="128"/>
        <v>4</v>
      </c>
      <c r="AB161" s="10">
        <f t="shared" si="129"/>
        <v>1.0102571884537961</v>
      </c>
      <c r="AC161" s="10">
        <f t="shared" si="130"/>
        <v>5.1989038856231664</v>
      </c>
      <c r="AD161" s="10">
        <f t="shared" si="131"/>
        <v>14</v>
      </c>
      <c r="AE161" s="5" t="s">
        <v>320</v>
      </c>
      <c r="AF161" s="21">
        <f t="shared" ref="AF161:BK161" si="212">AF26/AF25</f>
        <v>0.99815810809371408</v>
      </c>
      <c r="AG161" s="21">
        <f t="shared" si="212"/>
        <v>0.99775291529283472</v>
      </c>
      <c r="AH161" s="21">
        <f t="shared" si="212"/>
        <v>0.99570239922050974</v>
      </c>
      <c r="AI161" s="21">
        <f t="shared" si="212"/>
        <v>0.99927980648777814</v>
      </c>
      <c r="AJ161" s="21">
        <f t="shared" si="212"/>
        <v>1.0142742209705271</v>
      </c>
      <c r="AK161" s="21">
        <f t="shared" si="212"/>
        <v>1.0162924743025807</v>
      </c>
      <c r="AL161" s="21">
        <f t="shared" si="212"/>
        <v>1.0383689788175294</v>
      </c>
      <c r="AM161" s="21">
        <f t="shared" si="212"/>
        <v>1.1007782601085476</v>
      </c>
      <c r="AN161" s="21">
        <f t="shared" si="212"/>
        <v>1.152634079663803</v>
      </c>
      <c r="AO161" s="21">
        <f t="shared" si="212"/>
        <v>1.2153636351591333</v>
      </c>
      <c r="AP161" s="21">
        <f t="shared" si="212"/>
        <v>1.0082706607197238</v>
      </c>
      <c r="AQ161" s="21">
        <f t="shared" si="212"/>
        <v>1.0030355498389345</v>
      </c>
      <c r="AR161" s="21">
        <f t="shared" si="212"/>
        <v>1.0008830594301228</v>
      </c>
      <c r="AS161" s="21">
        <f t="shared" si="212"/>
        <v>0.99541039777952278</v>
      </c>
      <c r="AT161" s="21">
        <f t="shared" si="212"/>
        <v>1.0030048441194246</v>
      </c>
      <c r="AU161" s="21">
        <f t="shared" si="212"/>
        <v>0.99845535101312677</v>
      </c>
      <c r="AV161" s="21">
        <f t="shared" si="212"/>
        <v>1.107052154088138</v>
      </c>
      <c r="AW161" s="21">
        <f t="shared" si="212"/>
        <v>1.1848745068077389</v>
      </c>
      <c r="AX161" s="21">
        <f t="shared" si="212"/>
        <v>1.1712887028468475</v>
      </c>
      <c r="AY161" s="21">
        <f t="shared" si="212"/>
        <v>1.188003987056641</v>
      </c>
      <c r="AZ161" s="21">
        <f t="shared" si="212"/>
        <v>1.2061795099437516</v>
      </c>
      <c r="BA161" s="21">
        <f t="shared" si="212"/>
        <v>1.2445881130970482</v>
      </c>
      <c r="BB161" s="21">
        <f t="shared" si="212"/>
        <v>1.3182861331182092</v>
      </c>
      <c r="BC161" s="21">
        <f t="shared" si="212"/>
        <v>1.3783626765292278</v>
      </c>
      <c r="BD161" s="21">
        <f t="shared" si="212"/>
        <v>1.4978136025759008</v>
      </c>
      <c r="BE161" s="21">
        <f t="shared" si="212"/>
        <v>1.5641658600518238</v>
      </c>
      <c r="BF161" s="21">
        <f t="shared" si="212"/>
        <v>1.6132852170747967</v>
      </c>
      <c r="BG161" s="21">
        <f t="shared" si="212"/>
        <v>1.6383823641760884</v>
      </c>
      <c r="BH161" s="21">
        <f t="shared" si="212"/>
        <v>1.4585068852944598</v>
      </c>
      <c r="BI161" s="21">
        <f t="shared" si="212"/>
        <v>0.99425555590509973</v>
      </c>
      <c r="BJ161" s="21">
        <f t="shared" si="212"/>
        <v>0.98580439876927484</v>
      </c>
      <c r="BK161" s="21">
        <f t="shared" si="212"/>
        <v>0.9840790980584404</v>
      </c>
      <c r="BL161" s="21">
        <f t="shared" ref="BL161:CQ161" si="213">BL26/BL25</f>
        <v>0.98411598738093875</v>
      </c>
      <c r="BM161" s="21">
        <f t="shared" si="213"/>
        <v>1.2258881001459796</v>
      </c>
      <c r="BN161" s="21">
        <f t="shared" si="213"/>
        <v>2.3094029916767491</v>
      </c>
      <c r="BO161" s="21">
        <f t="shared" si="213"/>
        <v>5.1623783448521205</v>
      </c>
      <c r="BP161" s="21">
        <f t="shared" si="213"/>
        <v>1.0129125380506823</v>
      </c>
      <c r="BQ161" s="21">
        <f t="shared" si="213"/>
        <v>1.0482201640159581</v>
      </c>
      <c r="BR161" s="21">
        <f t="shared" si="213"/>
        <v>1.045273252008506</v>
      </c>
      <c r="BS161" s="21">
        <f t="shared" si="213"/>
        <v>1.133612445825225</v>
      </c>
      <c r="BT161" s="21">
        <f t="shared" si="213"/>
        <v>1.2302596470893492</v>
      </c>
      <c r="BU161" s="21">
        <f t="shared" si="213"/>
        <v>1.3227449205923549</v>
      </c>
      <c r="BV161" s="21">
        <f t="shared" si="213"/>
        <v>1.3837515245691911</v>
      </c>
      <c r="BW161" s="21">
        <f t="shared" si="213"/>
        <v>1.6103471895428507</v>
      </c>
      <c r="BX161" s="21">
        <f t="shared" si="213"/>
        <v>1.7584526503753311</v>
      </c>
      <c r="BY161" s="21">
        <f t="shared" si="213"/>
        <v>1.9575346842123191</v>
      </c>
      <c r="BZ161" s="21">
        <f t="shared" si="213"/>
        <v>1.0121013846701448</v>
      </c>
      <c r="CA161" s="21">
        <f t="shared" si="213"/>
        <v>1.3788982031804389</v>
      </c>
      <c r="CB161" s="21">
        <f t="shared" si="213"/>
        <v>1.2833830619711637</v>
      </c>
      <c r="CC161" s="21">
        <f t="shared" si="213"/>
        <v>1.882200628370333</v>
      </c>
      <c r="CD161" s="21">
        <f t="shared" si="213"/>
        <v>2.0512777005682579</v>
      </c>
      <c r="CE161" s="21">
        <f t="shared" si="213"/>
        <v>2.1860543773413417</v>
      </c>
      <c r="CF161" s="21">
        <f t="shared" si="213"/>
        <v>2.287196068382614</v>
      </c>
      <c r="CG161" s="21">
        <f t="shared" si="213"/>
        <v>2.7392420614293869</v>
      </c>
      <c r="CH161" s="21">
        <f t="shared" si="213"/>
        <v>3.54817939738275</v>
      </c>
      <c r="CI161" s="21">
        <f t="shared" si="213"/>
        <v>3.8332526406950023</v>
      </c>
      <c r="CJ161" s="21">
        <f t="shared" si="213"/>
        <v>4.3033932198125981</v>
      </c>
      <c r="CK161" s="21">
        <f t="shared" si="213"/>
        <v>4.7925970182572444</v>
      </c>
      <c r="CL161" s="21">
        <f t="shared" si="213"/>
        <v>5.1212267533258871</v>
      </c>
      <c r="CM161" s="21">
        <f t="shared" si="213"/>
        <v>5.6379508410201327</v>
      </c>
      <c r="CN161" s="21">
        <f t="shared" si="213"/>
        <v>6.1585118348552808</v>
      </c>
      <c r="CO161" s="21">
        <f t="shared" si="213"/>
        <v>5.718040356564881</v>
      </c>
      <c r="CP161" s="21">
        <f t="shared" si="213"/>
        <v>1.0321564558369822</v>
      </c>
      <c r="CQ161" s="21">
        <f t="shared" si="213"/>
        <v>1.097528866830922</v>
      </c>
      <c r="CR161" s="21">
        <f t="shared" ref="CR161:DW161" si="214">CR26/CR25</f>
        <v>1.1525970753688306</v>
      </c>
      <c r="CS161" s="21">
        <f t="shared" si="214"/>
        <v>1.3228428131958012</v>
      </c>
      <c r="CT161" s="21">
        <f t="shared" si="214"/>
        <v>1.449704007093314</v>
      </c>
      <c r="CU161" s="21">
        <f t="shared" si="214"/>
        <v>1.5504709079836283</v>
      </c>
      <c r="CV161" s="21">
        <f t="shared" si="214"/>
        <v>1.722165005540061</v>
      </c>
      <c r="CW161" s="21">
        <f t="shared" si="214"/>
        <v>2.0445813825345067</v>
      </c>
      <c r="CX161" s="21">
        <f t="shared" si="214"/>
        <v>2.299709500390267</v>
      </c>
      <c r="CY161" s="21">
        <f t="shared" si="214"/>
        <v>2.4344383143848187</v>
      </c>
      <c r="CZ161" s="21">
        <f t="shared" si="214"/>
        <v>2.7716269445152721</v>
      </c>
      <c r="DA161" s="21">
        <f t="shared" si="214"/>
        <v>3.0098637960176315</v>
      </c>
      <c r="DB161" s="21">
        <f t="shared" si="214"/>
        <v>3.4328846920433516</v>
      </c>
      <c r="DC161" s="21">
        <f t="shared" si="214"/>
        <v>3.2607278989903214</v>
      </c>
      <c r="DD161" s="21">
        <f t="shared" si="214"/>
        <v>2.6512254099007713</v>
      </c>
      <c r="DE161" s="21">
        <f t="shared" si="214"/>
        <v>1.0100464640667737</v>
      </c>
      <c r="DF161" s="21">
        <f t="shared" si="214"/>
        <v>1.1083289547587556</v>
      </c>
      <c r="DG161" s="21">
        <f t="shared" si="214"/>
        <v>1.6499533312248817</v>
      </c>
      <c r="DH161" s="21">
        <f t="shared" si="214"/>
        <v>8.9509048970292042</v>
      </c>
      <c r="DI161" s="21">
        <f t="shared" si="214"/>
        <v>10.440632000370142</v>
      </c>
      <c r="DJ161" s="21">
        <f t="shared" si="214"/>
        <v>12.012954943388516</v>
      </c>
      <c r="DK161" s="21">
        <f t="shared" si="214"/>
        <v>13.642977947443288</v>
      </c>
      <c r="DL161" s="21">
        <f t="shared" si="214"/>
        <v>15.540961459150299</v>
      </c>
      <c r="DM161" s="21">
        <f t="shared" si="214"/>
        <v>1.0014912596356473</v>
      </c>
      <c r="DN161" s="21">
        <f t="shared" si="214"/>
        <v>1.0026518544223366</v>
      </c>
      <c r="DO161" s="21">
        <f t="shared" si="214"/>
        <v>1.0073826746519838</v>
      </c>
      <c r="DP161" s="21">
        <f t="shared" si="214"/>
        <v>1.0288079437967377</v>
      </c>
      <c r="DQ161" s="21">
        <f t="shared" si="214"/>
        <v>1.007294917077509</v>
      </c>
      <c r="DR161" s="21">
        <f t="shared" si="214"/>
        <v>10.273744338851133</v>
      </c>
      <c r="DS161" s="21">
        <f t="shared" si="214"/>
        <v>14.008734559738274</v>
      </c>
      <c r="DT161" s="21">
        <f t="shared" si="214"/>
        <v>6.3512840499329029</v>
      </c>
      <c r="DU161" s="21">
        <f t="shared" si="214"/>
        <v>1.3124707128858686</v>
      </c>
      <c r="DV161" s="21">
        <f t="shared" si="214"/>
        <v>1.1296643121572034</v>
      </c>
      <c r="DW161" s="21">
        <f t="shared" si="214"/>
        <v>2.0679426985792544</v>
      </c>
      <c r="DX161" s="21">
        <f t="shared" ref="DX161:FC161" si="215">DX26/DX25</f>
        <v>8.8077505948243591</v>
      </c>
      <c r="DY161" s="21">
        <f t="shared" si="215"/>
        <v>1.0102571884537961</v>
      </c>
      <c r="DZ161" s="21">
        <f t="shared" si="215"/>
        <v>1.0656207977102032</v>
      </c>
      <c r="EA161" s="21">
        <f t="shared" si="215"/>
        <v>1.0953561528365137</v>
      </c>
      <c r="EB161" s="21">
        <f t="shared" si="215"/>
        <v>1.1876890403062252</v>
      </c>
      <c r="EC161" s="21">
        <f t="shared" si="215"/>
        <v>1.2378987986250329</v>
      </c>
      <c r="ED161" s="21">
        <f t="shared" si="215"/>
        <v>1.3299436279299353</v>
      </c>
      <c r="EE161" s="21">
        <f t="shared" si="215"/>
        <v>1.466948761592149</v>
      </c>
      <c r="EF161" s="21">
        <f t="shared" si="215"/>
        <v>1.4873760109907737</v>
      </c>
      <c r="EG161" s="21">
        <f t="shared" si="215"/>
        <v>3.369011333209841</v>
      </c>
      <c r="EH161" s="21">
        <f t="shared" si="215"/>
        <v>4.0522373989250342</v>
      </c>
      <c r="EI161" s="21">
        <f t="shared" si="215"/>
        <v>4.5600652525545362</v>
      </c>
      <c r="EJ161" s="21">
        <f t="shared" si="215"/>
        <v>5.1989038856231664</v>
      </c>
      <c r="EK161" s="21">
        <f t="shared" si="215"/>
        <v>4.3630597665577566</v>
      </c>
      <c r="EL161" s="21">
        <f t="shared" si="215"/>
        <v>3.4340394318662262</v>
      </c>
      <c r="EM161" s="21">
        <f t="shared" si="215"/>
        <v>1.0036302082535784</v>
      </c>
      <c r="EN161" s="21">
        <f t="shared" si="215"/>
        <v>1.0479510030897028</v>
      </c>
      <c r="EO161" s="21">
        <f t="shared" si="215"/>
        <v>1.3367315943118063</v>
      </c>
      <c r="EP161" s="21">
        <f t="shared" si="215"/>
        <v>1.562818368945035</v>
      </c>
      <c r="EQ161" s="21">
        <f t="shared" si="215"/>
        <v>1.8349148981083452</v>
      </c>
      <c r="ER161" s="21">
        <f t="shared" si="215"/>
        <v>1.0005326913421653</v>
      </c>
      <c r="ES161" s="21">
        <f t="shared" si="215"/>
        <v>1.0399066139337387</v>
      </c>
      <c r="ET161" s="21">
        <f t="shared" si="215"/>
        <v>1.305577832323904</v>
      </c>
      <c r="EU161" s="21">
        <f t="shared" si="215"/>
        <v>1.5220579986268208</v>
      </c>
      <c r="EV161" s="21">
        <f t="shared" si="215"/>
        <v>1.7772715648937658</v>
      </c>
      <c r="EW161" s="21">
        <f t="shared" si="215"/>
        <v>1.0005766290704297</v>
      </c>
      <c r="EX161" s="21">
        <f t="shared" si="215"/>
        <v>1.0413913808737563</v>
      </c>
      <c r="EY161" s="21">
        <f t="shared" si="215"/>
        <v>1.3754436974752065</v>
      </c>
      <c r="EZ161" s="21">
        <f t="shared" si="215"/>
        <v>1.6331007439403242</v>
      </c>
      <c r="FA161" s="21">
        <f t="shared" si="215"/>
        <v>2.1760108766189821</v>
      </c>
      <c r="FB161" s="21">
        <f t="shared" si="215"/>
        <v>1.000058425710739</v>
      </c>
      <c r="FC161" s="21">
        <f t="shared" si="215"/>
        <v>1.0698629388044196</v>
      </c>
      <c r="FD161" s="21">
        <f t="shared" ref="FD161:FK161" si="216">FD26/FD25</f>
        <v>1.4206894299847557</v>
      </c>
      <c r="FE161" s="21">
        <f t="shared" si="216"/>
        <v>1.7441254330625486</v>
      </c>
      <c r="FF161" s="21">
        <f t="shared" si="216"/>
        <v>2.1429030564308249</v>
      </c>
      <c r="FG161" s="21">
        <f t="shared" si="216"/>
        <v>1.0030718908869294</v>
      </c>
      <c r="FH161" s="21">
        <f t="shared" si="216"/>
        <v>1.1014758487701537</v>
      </c>
      <c r="FI161" s="21">
        <f t="shared" si="216"/>
        <v>1.4465338799493406</v>
      </c>
      <c r="FJ161" s="21">
        <f t="shared" si="216"/>
        <v>1.7471341839704493</v>
      </c>
      <c r="FK161" s="21">
        <f t="shared" si="216"/>
        <v>4.8433196794694853</v>
      </c>
    </row>
    <row r="162" spans="3:167" x14ac:dyDescent="0.2">
      <c r="C162" s="10">
        <f t="shared" ref="C162" si="217">MIN(AF162:EL162)</f>
        <v>-1.9925920843629159</v>
      </c>
      <c r="D162" s="10">
        <f t="shared" ref="D162" si="218">MAX(AF162:EL162)</f>
        <v>11.46022768601232</v>
      </c>
      <c r="E162" s="10" cm="1">
        <f t="array" ref="E162">gavg(AF162,EL162)</f>
        <v>1.3539714866463977</v>
      </c>
      <c r="F162" s="10" cm="1">
        <f t="array" ref="F162">lnstdev(AF162,EL162)</f>
        <v>1.4001349622841619</v>
      </c>
      <c r="G162" s="10">
        <f t="shared" ref="G162" si="219">COUNT(AF162:EL162)</f>
        <v>21</v>
      </c>
      <c r="H162" s="10">
        <f t="shared" ref="H162" si="220">MIN(AF162:AO162)</f>
        <v>-1.1851282436692196</v>
      </c>
      <c r="I162" s="10">
        <f t="shared" ref="I162" si="221">MAX(AF162:AO162)</f>
        <v>-0.35602169457585542</v>
      </c>
      <c r="J162" s="10"/>
      <c r="K162" s="10"/>
      <c r="L162" s="10">
        <f t="shared" ref="L162" si="222">COUNT(AF162:AO162)</f>
        <v>4</v>
      </c>
      <c r="M162" s="10">
        <f t="shared" ref="M162" si="223">MIN(AP162:BL162)</f>
        <v>-1.9925920843629159</v>
      </c>
      <c r="N162" s="10">
        <f t="shared" ref="N162" si="224">MAX(AP162:BL162)</f>
        <v>1.2626968317551874</v>
      </c>
      <c r="O162" s="10">
        <f t="shared" ref="O162" si="225">COUNT(AP162:BL162)</f>
        <v>8</v>
      </c>
      <c r="P162" s="10">
        <f t="shared" ref="P162" si="226">MIN(BM162:CO162)</f>
        <v>0</v>
      </c>
      <c r="Q162" s="10">
        <f t="shared" ref="Q162" si="227">MAX(BM162:CO162)</f>
        <v>0</v>
      </c>
      <c r="R162" s="10">
        <f t="shared" ref="R162" si="228">COUNT(BM162:CO162)</f>
        <v>0</v>
      </c>
      <c r="S162" s="10">
        <f t="shared" ref="S162" si="229">MIN(CP162:DT162)</f>
        <v>7.4873910696710517</v>
      </c>
      <c r="T162" s="10">
        <f t="shared" ref="T162" si="230">MAX(CP162:DT162)</f>
        <v>11.46022768601232</v>
      </c>
      <c r="U162" s="10">
        <f t="shared" ref="U162" si="231">COUNT(CP162:DT162)</f>
        <v>4</v>
      </c>
      <c r="V162" s="10">
        <f t="shared" si="123"/>
        <v>0.3583836013290449</v>
      </c>
      <c r="W162" s="10">
        <f t="shared" si="124"/>
        <v>1.651551565309024</v>
      </c>
      <c r="X162" s="10">
        <f t="shared" si="125"/>
        <v>5</v>
      </c>
      <c r="Y162" s="10">
        <f t="shared" si="126"/>
        <v>0.49843470818473001</v>
      </c>
      <c r="Z162" s="10">
        <f t="shared" si="127"/>
        <v>0.49843470818473001</v>
      </c>
      <c r="AA162" s="10">
        <f t="shared" si="128"/>
        <v>1</v>
      </c>
      <c r="AB162" s="10">
        <f t="shared" si="129"/>
        <v>0.3583836013290449</v>
      </c>
      <c r="AC162" s="10">
        <f t="shared" si="130"/>
        <v>1.651551565309024</v>
      </c>
      <c r="AD162" s="10">
        <f t="shared" si="131"/>
        <v>4</v>
      </c>
      <c r="AE162" s="5" t="s">
        <v>519</v>
      </c>
      <c r="AF162" t="str">
        <f t="shared" ref="AF162:BK162" si="232">IF(AF139="","",AF139-AF129)</f>
        <v/>
      </c>
      <c r="AG162" t="str">
        <f t="shared" si="232"/>
        <v/>
      </c>
      <c r="AH162" t="str">
        <f t="shared" si="232"/>
        <v/>
      </c>
      <c r="AI162" t="str">
        <f t="shared" si="232"/>
        <v/>
      </c>
      <c r="AJ162" t="str">
        <f t="shared" si="232"/>
        <v/>
      </c>
      <c r="AK162" t="str">
        <f t="shared" si="232"/>
        <v/>
      </c>
      <c r="AL162">
        <f t="shared" si="232"/>
        <v>-0.35602169457585542</v>
      </c>
      <c r="AM162">
        <f t="shared" si="232"/>
        <v>-0.54594958043735153</v>
      </c>
      <c r="AN162">
        <f t="shared" si="232"/>
        <v>-0.80247114770259631</v>
      </c>
      <c r="AO162">
        <f t="shared" si="232"/>
        <v>-1.1851282436692196</v>
      </c>
      <c r="AP162">
        <f t="shared" si="232"/>
        <v>1.2618347397869532</v>
      </c>
      <c r="AQ162">
        <f t="shared" si="232"/>
        <v>1.1901934623500681</v>
      </c>
      <c r="AR162">
        <f t="shared" si="232"/>
        <v>1.2626968317551874</v>
      </c>
      <c r="AS162">
        <f t="shared" si="232"/>
        <v>6.1577373050153206E-2</v>
      </c>
      <c r="AT162">
        <f t="shared" si="232"/>
        <v>-1.9925920843629159</v>
      </c>
      <c r="AU162" t="str">
        <f t="shared" si="232"/>
        <v/>
      </c>
      <c r="AV162" t="str">
        <f t="shared" si="232"/>
        <v/>
      </c>
      <c r="AW162" t="str">
        <f t="shared" si="232"/>
        <v/>
      </c>
      <c r="AX162" t="str">
        <f t="shared" si="232"/>
        <v/>
      </c>
      <c r="AY162" t="str">
        <f t="shared" si="232"/>
        <v/>
      </c>
      <c r="AZ162" t="str">
        <f t="shared" si="232"/>
        <v/>
      </c>
      <c r="BA162" t="str">
        <f t="shared" si="232"/>
        <v/>
      </c>
      <c r="BB162" t="str">
        <f t="shared" si="232"/>
        <v/>
      </c>
      <c r="BC162" t="str">
        <f t="shared" si="232"/>
        <v/>
      </c>
      <c r="BD162" t="str">
        <f t="shared" si="232"/>
        <v/>
      </c>
      <c r="BE162" t="str">
        <f t="shared" si="232"/>
        <v/>
      </c>
      <c r="BF162" t="str">
        <f t="shared" si="232"/>
        <v/>
      </c>
      <c r="BG162" t="str">
        <f t="shared" si="232"/>
        <v/>
      </c>
      <c r="BH162" t="str">
        <f t="shared" si="232"/>
        <v/>
      </c>
      <c r="BI162">
        <f t="shared" si="232"/>
        <v>0.38518505314131413</v>
      </c>
      <c r="BJ162">
        <f t="shared" si="232"/>
        <v>1.0451164420466863</v>
      </c>
      <c r="BK162">
        <f t="shared" si="232"/>
        <v>1.173350954381631</v>
      </c>
      <c r="BL162" t="str">
        <f t="shared" ref="BL162:CQ162" si="233">IF(BL139="","",BL139-BL129)</f>
        <v/>
      </c>
      <c r="BM162" t="str">
        <f t="shared" si="233"/>
        <v/>
      </c>
      <c r="BN162" t="str">
        <f t="shared" si="233"/>
        <v/>
      </c>
      <c r="BO162" t="str">
        <f t="shared" si="233"/>
        <v/>
      </c>
      <c r="BP162" t="str">
        <f t="shared" si="233"/>
        <v/>
      </c>
      <c r="BQ162" t="str">
        <f t="shared" si="233"/>
        <v/>
      </c>
      <c r="BR162" t="str">
        <f t="shared" si="233"/>
        <v/>
      </c>
      <c r="BS162" t="str">
        <f t="shared" si="233"/>
        <v/>
      </c>
      <c r="BT162" t="str">
        <f t="shared" si="233"/>
        <v/>
      </c>
      <c r="BU162" t="str">
        <f t="shared" si="233"/>
        <v/>
      </c>
      <c r="BV162" t="str">
        <f t="shared" si="233"/>
        <v/>
      </c>
      <c r="BW162" t="str">
        <f t="shared" si="233"/>
        <v/>
      </c>
      <c r="BX162" t="str">
        <f t="shared" si="233"/>
        <v/>
      </c>
      <c r="BY162" t="str">
        <f t="shared" si="233"/>
        <v/>
      </c>
      <c r="BZ162" t="str">
        <f t="shared" si="233"/>
        <v/>
      </c>
      <c r="CA162" t="str">
        <f t="shared" si="233"/>
        <v/>
      </c>
      <c r="CB162" t="str">
        <f t="shared" si="233"/>
        <v/>
      </c>
      <c r="CC162" t="str">
        <f t="shared" si="233"/>
        <v/>
      </c>
      <c r="CD162" t="str">
        <f t="shared" si="233"/>
        <v/>
      </c>
      <c r="CE162" t="str">
        <f t="shared" si="233"/>
        <v/>
      </c>
      <c r="CF162" t="str">
        <f t="shared" si="233"/>
        <v/>
      </c>
      <c r="CG162" t="str">
        <f t="shared" si="233"/>
        <v/>
      </c>
      <c r="CH162" t="str">
        <f t="shared" si="233"/>
        <v/>
      </c>
      <c r="CI162" t="str">
        <f t="shared" si="233"/>
        <v/>
      </c>
      <c r="CJ162" t="str">
        <f t="shared" si="233"/>
        <v/>
      </c>
      <c r="CK162" t="str">
        <f t="shared" si="233"/>
        <v/>
      </c>
      <c r="CL162" t="str">
        <f t="shared" si="233"/>
        <v/>
      </c>
      <c r="CM162" t="str">
        <f t="shared" si="233"/>
        <v/>
      </c>
      <c r="CN162" t="str">
        <f t="shared" si="233"/>
        <v/>
      </c>
      <c r="CO162" t="str">
        <f t="shared" si="233"/>
        <v/>
      </c>
      <c r="CP162" t="str">
        <f t="shared" si="233"/>
        <v/>
      </c>
      <c r="CQ162" t="str">
        <f t="shared" si="233"/>
        <v/>
      </c>
      <c r="CR162" t="str">
        <f t="shared" ref="CR162:DW162" si="234">IF(CR139="","",CR139-CR129)</f>
        <v/>
      </c>
      <c r="CS162" t="str">
        <f t="shared" si="234"/>
        <v/>
      </c>
      <c r="CT162" t="str">
        <f t="shared" si="234"/>
        <v/>
      </c>
      <c r="CU162" t="str">
        <f t="shared" si="234"/>
        <v/>
      </c>
      <c r="CV162" t="str">
        <f t="shared" si="234"/>
        <v/>
      </c>
      <c r="CW162" t="str">
        <f t="shared" si="234"/>
        <v/>
      </c>
      <c r="CX162" t="str">
        <f t="shared" si="234"/>
        <v/>
      </c>
      <c r="CY162" t="str">
        <f t="shared" si="234"/>
        <v/>
      </c>
      <c r="CZ162" t="str">
        <f t="shared" si="234"/>
        <v/>
      </c>
      <c r="DA162" t="str">
        <f t="shared" si="234"/>
        <v/>
      </c>
      <c r="DB162" t="str">
        <f t="shared" si="234"/>
        <v/>
      </c>
      <c r="DC162" t="str">
        <f t="shared" si="234"/>
        <v/>
      </c>
      <c r="DD162" t="str">
        <f t="shared" si="234"/>
        <v/>
      </c>
      <c r="DE162" t="str">
        <f t="shared" si="234"/>
        <v/>
      </c>
      <c r="DF162" t="str">
        <f t="shared" si="234"/>
        <v/>
      </c>
      <c r="DG162" t="str">
        <f t="shared" si="234"/>
        <v/>
      </c>
      <c r="DH162" t="str">
        <f t="shared" si="234"/>
        <v/>
      </c>
      <c r="DI162" t="str">
        <f t="shared" si="234"/>
        <v/>
      </c>
      <c r="DJ162" t="str">
        <f t="shared" si="234"/>
        <v/>
      </c>
      <c r="DK162" t="str">
        <f t="shared" si="234"/>
        <v/>
      </c>
      <c r="DL162" t="str">
        <f t="shared" si="234"/>
        <v/>
      </c>
      <c r="DM162">
        <f t="shared" si="234"/>
        <v>11.46022768601232</v>
      </c>
      <c r="DN162">
        <f t="shared" si="234"/>
        <v>7.4873910696710517</v>
      </c>
      <c r="DO162">
        <f t="shared" si="234"/>
        <v>8.9197167139996854</v>
      </c>
      <c r="DP162" t="str">
        <f t="shared" si="234"/>
        <v/>
      </c>
      <c r="DQ162">
        <f t="shared" si="234"/>
        <v>9.7981249552225549</v>
      </c>
      <c r="DR162" t="str">
        <f t="shared" si="234"/>
        <v/>
      </c>
      <c r="DS162" t="str">
        <f t="shared" si="234"/>
        <v/>
      </c>
      <c r="DT162" t="str">
        <f t="shared" si="234"/>
        <v/>
      </c>
      <c r="DU162" t="str">
        <f t="shared" si="234"/>
        <v/>
      </c>
      <c r="DV162">
        <f t="shared" si="234"/>
        <v>0.49843470818473001</v>
      </c>
      <c r="DW162" t="str">
        <f t="shared" si="234"/>
        <v/>
      </c>
      <c r="DX162" t="str">
        <f t="shared" ref="DX162:FC162" si="235">IF(DX139="","",DX139-DX129)</f>
        <v/>
      </c>
      <c r="DY162">
        <f t="shared" si="235"/>
        <v>0.3583836013290449</v>
      </c>
      <c r="DZ162">
        <f t="shared" si="235"/>
        <v>0.72310228592233905</v>
      </c>
      <c r="EA162">
        <f t="shared" si="235"/>
        <v>1.4457190217170552</v>
      </c>
      <c r="EB162">
        <f t="shared" si="235"/>
        <v>1.651551565309024</v>
      </c>
      <c r="EC162" t="str">
        <f t="shared" si="235"/>
        <v/>
      </c>
      <c r="ED162" t="str">
        <f t="shared" si="235"/>
        <v/>
      </c>
      <c r="EE162" t="str">
        <f t="shared" si="235"/>
        <v/>
      </c>
      <c r="EF162" t="str">
        <f t="shared" si="235"/>
        <v/>
      </c>
      <c r="EG162" t="str">
        <f t="shared" si="235"/>
        <v/>
      </c>
      <c r="EH162" t="str">
        <f t="shared" si="235"/>
        <v/>
      </c>
      <c r="EI162" t="str">
        <f t="shared" si="235"/>
        <v/>
      </c>
      <c r="EJ162" t="str">
        <f t="shared" si="235"/>
        <v/>
      </c>
      <c r="EK162" t="str">
        <f t="shared" si="235"/>
        <v/>
      </c>
      <c r="EL162" t="str">
        <f t="shared" si="235"/>
        <v/>
      </c>
      <c r="EM162">
        <f t="shared" si="235"/>
        <v>1.2127007010920858</v>
      </c>
      <c r="EN162">
        <f t="shared" si="235"/>
        <v>0.54690029747878022</v>
      </c>
      <c r="EO162" t="str">
        <f t="shared" si="235"/>
        <v/>
      </c>
      <c r="EP162" t="str">
        <f t="shared" si="235"/>
        <v/>
      </c>
      <c r="EQ162" t="str">
        <f t="shared" si="235"/>
        <v/>
      </c>
      <c r="ER162">
        <f t="shared" si="235"/>
        <v>0.88332009807380274</v>
      </c>
      <c r="ES162">
        <f t="shared" si="235"/>
        <v>2.5896648942285623</v>
      </c>
      <c r="ET162" t="str">
        <f t="shared" si="235"/>
        <v/>
      </c>
      <c r="EU162" t="str">
        <f t="shared" si="235"/>
        <v/>
      </c>
      <c r="EV162" t="str">
        <f t="shared" si="235"/>
        <v/>
      </c>
      <c r="EW162">
        <f t="shared" si="235"/>
        <v>1.2641405919901219</v>
      </c>
      <c r="EX162">
        <f t="shared" si="235"/>
        <v>0.67247067257901261</v>
      </c>
      <c r="EY162" t="str">
        <f t="shared" si="235"/>
        <v/>
      </c>
      <c r="EZ162" t="str">
        <f t="shared" si="235"/>
        <v/>
      </c>
      <c r="FA162" t="str">
        <f t="shared" si="235"/>
        <v/>
      </c>
      <c r="FB162">
        <f t="shared" si="235"/>
        <v>0.35917520444932327</v>
      </c>
      <c r="FC162">
        <f t="shared" si="235"/>
        <v>0.80593044901534672</v>
      </c>
      <c r="FD162" t="str">
        <f t="shared" ref="FD162:FK162" si="236">IF(FD139="","",FD139-FD129)</f>
        <v/>
      </c>
      <c r="FE162" t="str">
        <f t="shared" si="236"/>
        <v/>
      </c>
      <c r="FF162" t="str">
        <f t="shared" si="236"/>
        <v/>
      </c>
      <c r="FG162">
        <f t="shared" si="236"/>
        <v>0.35437991466590546</v>
      </c>
      <c r="FH162">
        <f t="shared" si="236"/>
        <v>0.96865152608840432</v>
      </c>
      <c r="FI162" t="str">
        <f t="shared" si="236"/>
        <v/>
      </c>
      <c r="FJ162" t="str">
        <f t="shared" si="236"/>
        <v/>
      </c>
      <c r="FK162" t="str">
        <f t="shared" si="236"/>
        <v/>
      </c>
    </row>
    <row r="163" spans="3:167" x14ac:dyDescent="0.2">
      <c r="C163" s="10">
        <f t="shared" ref="C163:C164" si="237">MIN(AF163:EL163)</f>
        <v>-0.53182844710045207</v>
      </c>
      <c r="D163" s="10">
        <f t="shared" ref="D163:D164" si="238">MAX(AF163:EL163)</f>
        <v>0.43473278258237097</v>
      </c>
      <c r="E163" s="10" cm="1">
        <f t="array" ref="E163">gavg(AF163,EL163)</f>
        <v>9.2467925648112362E-2</v>
      </c>
      <c r="F163" s="10" cm="1">
        <f t="array" ref="F163">lnstdev(AF163,EL163)</f>
        <v>0.9676417655816586</v>
      </c>
      <c r="G163" s="10">
        <f t="shared" ref="G163:G164" si="239">COUNT(AF163:EL163)</f>
        <v>73</v>
      </c>
      <c r="H163" s="10">
        <f t="shared" ref="H163:H164" si="240">MIN(AF163:AO163)</f>
        <v>8.9941564589939002E-2</v>
      </c>
      <c r="I163" s="10">
        <f t="shared" ref="I163:I164" si="241">MAX(AF163:AO163)</f>
        <v>0.43473278258237097</v>
      </c>
      <c r="J163" s="10"/>
      <c r="K163" s="10"/>
      <c r="L163" s="10">
        <f t="shared" ref="L163:L164" si="242">COUNT(AF163:AO163)</f>
        <v>4</v>
      </c>
      <c r="M163" s="10">
        <f t="shared" ref="M163:M164" si="243">MIN(AP163:BL163)</f>
        <v>-0.53182844710045207</v>
      </c>
      <c r="N163" s="10">
        <f t="shared" ref="N163:N164" si="244">MAX(AP163:BL163)</f>
        <v>6.1262626940947799E-2</v>
      </c>
      <c r="O163" s="10">
        <f t="shared" ref="O163:O164" si="245">COUNT(AP163:BL163)</f>
        <v>10</v>
      </c>
      <c r="P163" s="10">
        <f t="shared" ref="P163:P164" si="246">MIN(BM163:CO163)</f>
        <v>-0.37733126129792666</v>
      </c>
      <c r="Q163" s="10">
        <f t="shared" ref="Q163:Q164" si="247">MAX(BM163:CO163)</f>
        <v>0.33740536467570981</v>
      </c>
      <c r="R163" s="10">
        <f t="shared" ref="R163:R164" si="248">COUNT(BM163:CO163)</f>
        <v>19</v>
      </c>
      <c r="S163" s="10">
        <f t="shared" ref="S163:S164" si="249">MIN(CP163:DT163)</f>
        <v>-0.19336634523448226</v>
      </c>
      <c r="T163" s="10">
        <f t="shared" ref="T163:T164" si="250">MAX(CP163:DT163)</f>
        <v>0.24180724144148333</v>
      </c>
      <c r="U163" s="10">
        <f t="shared" ref="U163:U164" si="251">COUNT(CP163:DT163)</f>
        <v>27</v>
      </c>
      <c r="V163" s="10">
        <f t="shared" si="123"/>
        <v>-8.8420606420911874E-2</v>
      </c>
      <c r="W163" s="10">
        <f t="shared" si="124"/>
        <v>0.2978684671570036</v>
      </c>
      <c r="X163" s="10">
        <f t="shared" si="125"/>
        <v>13</v>
      </c>
      <c r="Y163" s="10">
        <f t="shared" si="126"/>
        <v>8.7081275094403859E-2</v>
      </c>
      <c r="Z163" s="10">
        <f t="shared" si="127"/>
        <v>8.7081275094403859E-2</v>
      </c>
      <c r="AA163" s="10">
        <f t="shared" si="128"/>
        <v>1</v>
      </c>
      <c r="AB163" s="10">
        <f t="shared" si="129"/>
        <v>-8.8420606420911874E-2</v>
      </c>
      <c r="AC163" s="10">
        <f t="shared" si="130"/>
        <v>0.2978684671570036</v>
      </c>
      <c r="AD163" s="10">
        <f t="shared" si="131"/>
        <v>12</v>
      </c>
      <c r="AE163" s="5" t="s">
        <v>623</v>
      </c>
      <c r="AF163" t="str">
        <f t="shared" ref="AF163:BK163" si="252">IF(AF95="","",LN(AF95/(c_1CF*AF86^c_2CF*AF88^c_3CF)))</f>
        <v/>
      </c>
      <c r="AG163" t="str">
        <f t="shared" si="252"/>
        <v/>
      </c>
      <c r="AH163" t="str">
        <f t="shared" si="252"/>
        <v/>
      </c>
      <c r="AI163" t="str">
        <f t="shared" si="252"/>
        <v/>
      </c>
      <c r="AJ163" t="str">
        <f t="shared" si="252"/>
        <v/>
      </c>
      <c r="AK163" t="str">
        <f t="shared" si="252"/>
        <v/>
      </c>
      <c r="AL163">
        <f t="shared" si="252"/>
        <v>0.41383072151018074</v>
      </c>
      <c r="AM163">
        <f t="shared" si="252"/>
        <v>0.43473278258237097</v>
      </c>
      <c r="AN163">
        <f t="shared" si="252"/>
        <v>0.29256782857533109</v>
      </c>
      <c r="AO163">
        <f t="shared" si="252"/>
        <v>8.9941564589939002E-2</v>
      </c>
      <c r="AP163">
        <f t="shared" si="252"/>
        <v>-0.28164173653089025</v>
      </c>
      <c r="AQ163">
        <f t="shared" si="252"/>
        <v>-0.53182844710045207</v>
      </c>
      <c r="AR163">
        <f t="shared" si="252"/>
        <v>-0.235013960487271</v>
      </c>
      <c r="AS163">
        <f t="shared" si="252"/>
        <v>-7.4289609330879691E-2</v>
      </c>
      <c r="AT163">
        <f t="shared" si="252"/>
        <v>6.1262626940947799E-2</v>
      </c>
      <c r="AU163" t="str">
        <f t="shared" si="252"/>
        <v/>
      </c>
      <c r="AV163">
        <f t="shared" si="252"/>
        <v>-0.32892968229243214</v>
      </c>
      <c r="AW163" t="str">
        <f t="shared" si="252"/>
        <v/>
      </c>
      <c r="AX163" t="str">
        <f t="shared" si="252"/>
        <v/>
      </c>
      <c r="AY163" t="str">
        <f t="shared" si="252"/>
        <v/>
      </c>
      <c r="AZ163" t="str">
        <f t="shared" si="252"/>
        <v/>
      </c>
      <c r="BA163" t="str">
        <f t="shared" si="252"/>
        <v/>
      </c>
      <c r="BB163">
        <f t="shared" si="252"/>
        <v>-0.11906757815875296</v>
      </c>
      <c r="BC163" t="str">
        <f t="shared" si="252"/>
        <v/>
      </c>
      <c r="BD163" t="str">
        <f t="shared" si="252"/>
        <v/>
      </c>
      <c r="BE163" t="str">
        <f t="shared" si="252"/>
        <v/>
      </c>
      <c r="BF163" t="str">
        <f t="shared" si="252"/>
        <v/>
      </c>
      <c r="BG163" t="str">
        <f t="shared" si="252"/>
        <v/>
      </c>
      <c r="BH163" t="str">
        <f t="shared" si="252"/>
        <v/>
      </c>
      <c r="BI163">
        <f t="shared" si="252"/>
        <v>-0.34689111787299259</v>
      </c>
      <c r="BJ163">
        <f t="shared" si="252"/>
        <v>-0.17214295020611597</v>
      </c>
      <c r="BK163">
        <f t="shared" si="252"/>
        <v>-0.44971463668527067</v>
      </c>
      <c r="BL163" t="str">
        <f t="shared" ref="BL163:CQ163" si="253">IF(BL95="","",LN(BL95/(c_1CF*BL86^c_2CF*BL88^c_3CF)))</f>
        <v/>
      </c>
      <c r="BM163">
        <f t="shared" si="253"/>
        <v>0.22596634210460165</v>
      </c>
      <c r="BN163">
        <f t="shared" si="253"/>
        <v>7.0149422851352769E-2</v>
      </c>
      <c r="BO163" t="str">
        <f t="shared" si="253"/>
        <v/>
      </c>
      <c r="BP163">
        <f t="shared" si="253"/>
        <v>6.4929463682330282E-2</v>
      </c>
      <c r="BQ163">
        <f t="shared" si="253"/>
        <v>0.33740536467570981</v>
      </c>
      <c r="BR163">
        <f t="shared" si="253"/>
        <v>4.3742729242414638E-2</v>
      </c>
      <c r="BS163">
        <f t="shared" si="253"/>
        <v>8.9902084917673875E-2</v>
      </c>
      <c r="BT163">
        <f t="shared" si="253"/>
        <v>0.2174337499441146</v>
      </c>
      <c r="BU163">
        <f t="shared" si="253"/>
        <v>4.6968033850830371E-2</v>
      </c>
      <c r="BV163">
        <f t="shared" si="253"/>
        <v>3.4763844483365398E-2</v>
      </c>
      <c r="BW163">
        <f t="shared" si="253"/>
        <v>-0.12889195224752412</v>
      </c>
      <c r="BX163">
        <f t="shared" si="253"/>
        <v>-0.10171240520605414</v>
      </c>
      <c r="BY163">
        <f t="shared" si="253"/>
        <v>-0.1553975222119342</v>
      </c>
      <c r="BZ163">
        <f t="shared" si="253"/>
        <v>2.3141928066419758E-2</v>
      </c>
      <c r="CA163">
        <f t="shared" si="253"/>
        <v>7.8287878646714229E-2</v>
      </c>
      <c r="CB163">
        <f t="shared" si="253"/>
        <v>4.9727871525937627E-2</v>
      </c>
      <c r="CC163">
        <f t="shared" si="253"/>
        <v>-0.20177617325505356</v>
      </c>
      <c r="CD163">
        <f t="shared" si="253"/>
        <v>-0.20529390307977233</v>
      </c>
      <c r="CE163">
        <f t="shared" si="253"/>
        <v>-0.36254550932533586</v>
      </c>
      <c r="CF163">
        <f t="shared" si="253"/>
        <v>-0.37733126129792666</v>
      </c>
      <c r="CG163" t="str">
        <f t="shared" si="253"/>
        <v/>
      </c>
      <c r="CH163" t="str">
        <f t="shared" si="253"/>
        <v/>
      </c>
      <c r="CI163" t="str">
        <f t="shared" si="253"/>
        <v/>
      </c>
      <c r="CJ163" t="str">
        <f t="shared" si="253"/>
        <v/>
      </c>
      <c r="CK163" t="str">
        <f t="shared" si="253"/>
        <v/>
      </c>
      <c r="CL163" t="str">
        <f t="shared" si="253"/>
        <v/>
      </c>
      <c r="CM163" t="str">
        <f t="shared" si="253"/>
        <v/>
      </c>
      <c r="CN163" t="str">
        <f t="shared" si="253"/>
        <v/>
      </c>
      <c r="CO163" t="str">
        <f t="shared" si="253"/>
        <v/>
      </c>
      <c r="CP163">
        <f t="shared" si="253"/>
        <v>-4.3913782566483477E-2</v>
      </c>
      <c r="CQ163">
        <f t="shared" si="253"/>
        <v>7.3767005326723173E-2</v>
      </c>
      <c r="CR163">
        <f t="shared" ref="CR163:DW163" si="254">IF(CR95="","",LN(CR95/(c_1CF*CR86^c_2CF*CR88^c_3CF)))</f>
        <v>1.0596564152807035E-2</v>
      </c>
      <c r="CS163">
        <f t="shared" si="254"/>
        <v>0.18923250797492522</v>
      </c>
      <c r="CT163">
        <f t="shared" si="254"/>
        <v>-6.0824777296334669E-2</v>
      </c>
      <c r="CU163">
        <f t="shared" si="254"/>
        <v>0.10122987101230362</v>
      </c>
      <c r="CV163">
        <f t="shared" si="254"/>
        <v>-0.12428104570622209</v>
      </c>
      <c r="CW163">
        <f t="shared" si="254"/>
        <v>7.611020080905774E-2</v>
      </c>
      <c r="CX163">
        <f t="shared" si="254"/>
        <v>0.17878456352946831</v>
      </c>
      <c r="CY163">
        <f t="shared" si="254"/>
        <v>-7.8836292873794581E-2</v>
      </c>
      <c r="CZ163">
        <f t="shared" si="254"/>
        <v>-4.2980557727719505E-2</v>
      </c>
      <c r="DA163">
        <f t="shared" si="254"/>
        <v>-1.9349052105833077E-2</v>
      </c>
      <c r="DB163">
        <f t="shared" si="254"/>
        <v>0.13215819714510413</v>
      </c>
      <c r="DC163" t="str">
        <f t="shared" si="254"/>
        <v/>
      </c>
      <c r="DD163">
        <f t="shared" si="254"/>
        <v>-0.19336634523448226</v>
      </c>
      <c r="DE163">
        <f t="shared" si="254"/>
        <v>0.12026884689983318</v>
      </c>
      <c r="DF163" t="str">
        <f t="shared" si="254"/>
        <v/>
      </c>
      <c r="DG163" t="str">
        <f t="shared" si="254"/>
        <v/>
      </c>
      <c r="DH163">
        <f t="shared" si="254"/>
        <v>4.7901045339990123E-2</v>
      </c>
      <c r="DI163">
        <f t="shared" si="254"/>
        <v>0.11658166735860806</v>
      </c>
      <c r="DJ163">
        <f t="shared" si="254"/>
        <v>-2.3012649929711502E-2</v>
      </c>
      <c r="DK163">
        <f t="shared" si="254"/>
        <v>-7.2050355303897459E-2</v>
      </c>
      <c r="DL163">
        <f t="shared" si="254"/>
        <v>-0.18764683333255108</v>
      </c>
      <c r="DM163">
        <f t="shared" si="254"/>
        <v>7.2098635469043923E-2</v>
      </c>
      <c r="DN163">
        <f t="shared" si="254"/>
        <v>1.0854165515335806E-2</v>
      </c>
      <c r="DO163">
        <f t="shared" si="254"/>
        <v>0.23354961562523752</v>
      </c>
      <c r="DP163">
        <f t="shared" si="254"/>
        <v>0.24180724144148333</v>
      </c>
      <c r="DQ163">
        <f t="shared" si="254"/>
        <v>-7.223293117531672E-2</v>
      </c>
      <c r="DR163">
        <f t="shared" si="254"/>
        <v>-1.6644231216945363E-2</v>
      </c>
      <c r="DS163">
        <f t="shared" si="254"/>
        <v>-5.6598307568190974E-2</v>
      </c>
      <c r="DT163" t="str">
        <f t="shared" si="254"/>
        <v/>
      </c>
      <c r="DU163" t="str">
        <f t="shared" si="254"/>
        <v/>
      </c>
      <c r="DV163">
        <f t="shared" si="254"/>
        <v>8.7081275094403859E-2</v>
      </c>
      <c r="DW163" t="str">
        <f t="shared" si="254"/>
        <v/>
      </c>
      <c r="DX163" t="str">
        <f t="shared" ref="DX163:EL163" si="255">IF(DX95="","",LN(DX95/(c_1CF*DX86^c_2CF*DX88^c_3CF)))</f>
        <v/>
      </c>
      <c r="DY163">
        <f t="shared" si="255"/>
        <v>-4.4012189275922119E-2</v>
      </c>
      <c r="DZ163">
        <f t="shared" si="255"/>
        <v>-4.7286457444930624E-2</v>
      </c>
      <c r="EA163">
        <f t="shared" si="255"/>
        <v>5.0832711176419E-2</v>
      </c>
      <c r="EB163">
        <f t="shared" si="255"/>
        <v>0.22051902600521908</v>
      </c>
      <c r="EC163">
        <f t="shared" si="255"/>
        <v>9.3281649621855412E-3</v>
      </c>
      <c r="ED163">
        <f t="shared" si="255"/>
        <v>0.24631891777034901</v>
      </c>
      <c r="EE163">
        <f t="shared" si="255"/>
        <v>0.10930398697094608</v>
      </c>
      <c r="EF163">
        <f t="shared" si="255"/>
        <v>-8.8420606420911874E-2</v>
      </c>
      <c r="EG163">
        <f t="shared" si="255"/>
        <v>0.2978684671570036</v>
      </c>
      <c r="EH163" t="str">
        <f t="shared" si="255"/>
        <v/>
      </c>
      <c r="EI163">
        <f t="shared" si="255"/>
        <v>-1.5801187410211879E-3</v>
      </c>
      <c r="EJ163">
        <f t="shared" si="255"/>
        <v>6.379251916883763E-2</v>
      </c>
      <c r="EK163" t="str">
        <f t="shared" si="255"/>
        <v/>
      </c>
      <c r="EL163">
        <f t="shared" si="255"/>
        <v>-1.923306547028035E-2</v>
      </c>
    </row>
    <row r="164" spans="3:167" x14ac:dyDescent="0.2">
      <c r="C164" s="10">
        <f t="shared" si="237"/>
        <v>-0.37977423087297058</v>
      </c>
      <c r="D164" s="10">
        <f t="shared" si="238"/>
        <v>0.44503942565862764</v>
      </c>
      <c r="E164" s="10" cm="1">
        <f t="array" ref="E164">gavg(AF164,EL164)</f>
        <v>8.0859322161539862E-2</v>
      </c>
      <c r="F164" s="10" cm="1">
        <f t="array" ref="F164">lnstdev(AF164,EL164)</f>
        <v>1.3124882063617214</v>
      </c>
      <c r="G164" s="10">
        <f t="shared" si="239"/>
        <v>73</v>
      </c>
      <c r="H164" s="10">
        <f t="shared" si="240"/>
        <v>0.15213663481960926</v>
      </c>
      <c r="I164" s="10">
        <f t="shared" si="241"/>
        <v>0.44503942565862764</v>
      </c>
      <c r="J164" s="10"/>
      <c r="K164" s="10"/>
      <c r="L164" s="10">
        <f t="shared" si="242"/>
        <v>4</v>
      </c>
      <c r="M164" s="10">
        <f t="shared" si="243"/>
        <v>-0.37977423087297058</v>
      </c>
      <c r="N164" s="10">
        <f t="shared" si="244"/>
        <v>8.1611382913672287E-2</v>
      </c>
      <c r="O164" s="10">
        <f t="shared" si="245"/>
        <v>10</v>
      </c>
      <c r="P164" s="10">
        <f t="shared" si="246"/>
        <v>-0.20408081261727884</v>
      </c>
      <c r="Q164" s="10">
        <f t="shared" si="247"/>
        <v>0.38854850306479932</v>
      </c>
      <c r="R164" s="10">
        <f t="shared" si="248"/>
        <v>19</v>
      </c>
      <c r="S164" s="10">
        <f t="shared" si="249"/>
        <v>-0.31682440533986211</v>
      </c>
      <c r="T164" s="10">
        <f t="shared" si="250"/>
        <v>0.25042584588044364</v>
      </c>
      <c r="U164" s="10">
        <f t="shared" si="251"/>
        <v>27</v>
      </c>
      <c r="V164" s="10">
        <f t="shared" si="123"/>
        <v>-0.29069803992498017</v>
      </c>
      <c r="W164" s="10">
        <f t="shared" si="124"/>
        <v>0.28638007230657442</v>
      </c>
      <c r="X164" s="10">
        <f t="shared" si="125"/>
        <v>13</v>
      </c>
      <c r="Y164" s="10">
        <f t="shared" si="126"/>
        <v>-8.3085952353854409E-2</v>
      </c>
      <c r="Z164" s="10">
        <f t="shared" si="127"/>
        <v>-8.3085952353854409E-2</v>
      </c>
      <c r="AA164" s="10">
        <f t="shared" si="128"/>
        <v>1</v>
      </c>
      <c r="AB164" s="10">
        <f t="shared" si="129"/>
        <v>-0.29069803992498017</v>
      </c>
      <c r="AC164" s="10">
        <f t="shared" si="130"/>
        <v>0.28638007230657442</v>
      </c>
      <c r="AD164" s="10">
        <f t="shared" si="131"/>
        <v>12</v>
      </c>
      <c r="AE164" s="5" t="s">
        <v>624</v>
      </c>
      <c r="AF164" t="str">
        <f t="shared" ref="AF164:BK164" si="256">IF(AF96="","",LN(AF96/(c_1IL*AF86^c_2IL*AF88^c_3IL)))</f>
        <v/>
      </c>
      <c r="AG164" t="str">
        <f t="shared" si="256"/>
        <v/>
      </c>
      <c r="AH164" t="str">
        <f t="shared" si="256"/>
        <v/>
      </c>
      <c r="AI164" t="str">
        <f t="shared" si="256"/>
        <v/>
      </c>
      <c r="AJ164" t="str">
        <f t="shared" si="256"/>
        <v/>
      </c>
      <c r="AK164" t="str">
        <f t="shared" si="256"/>
        <v/>
      </c>
      <c r="AL164">
        <f t="shared" si="256"/>
        <v>0.44503942565862764</v>
      </c>
      <c r="AM164">
        <f t="shared" si="256"/>
        <v>0.36627020040717806</v>
      </c>
      <c r="AN164">
        <f t="shared" si="256"/>
        <v>0.15213663481960926</v>
      </c>
      <c r="AO164">
        <f t="shared" si="256"/>
        <v>0.20375389452762963</v>
      </c>
      <c r="AP164">
        <f t="shared" si="256"/>
        <v>3.8093914415072774E-2</v>
      </c>
      <c r="AQ164">
        <f t="shared" si="256"/>
        <v>6.5210069162313866E-2</v>
      </c>
      <c r="AR164">
        <f t="shared" si="256"/>
        <v>-0.35681145813356191</v>
      </c>
      <c r="AS164">
        <f t="shared" si="256"/>
        <v>-0.28558595747549848</v>
      </c>
      <c r="AT164">
        <f t="shared" si="256"/>
        <v>-0.28670933045570868</v>
      </c>
      <c r="AU164" t="str">
        <f t="shared" si="256"/>
        <v/>
      </c>
      <c r="AV164">
        <f t="shared" si="256"/>
        <v>-0.27050769571851974</v>
      </c>
      <c r="AW164" t="str">
        <f t="shared" si="256"/>
        <v/>
      </c>
      <c r="AX164" t="str">
        <f t="shared" si="256"/>
        <v/>
      </c>
      <c r="AY164" t="str">
        <f t="shared" si="256"/>
        <v/>
      </c>
      <c r="AZ164" t="str">
        <f t="shared" si="256"/>
        <v/>
      </c>
      <c r="BA164" t="str">
        <f t="shared" si="256"/>
        <v/>
      </c>
      <c r="BB164">
        <f t="shared" si="256"/>
        <v>-0.37977423087297058</v>
      </c>
      <c r="BC164" t="str">
        <f t="shared" si="256"/>
        <v/>
      </c>
      <c r="BD164" t="str">
        <f t="shared" si="256"/>
        <v/>
      </c>
      <c r="BE164" t="str">
        <f t="shared" si="256"/>
        <v/>
      </c>
      <c r="BF164" t="str">
        <f t="shared" si="256"/>
        <v/>
      </c>
      <c r="BG164" t="str">
        <f t="shared" si="256"/>
        <v/>
      </c>
      <c r="BH164" t="str">
        <f t="shared" si="256"/>
        <v/>
      </c>
      <c r="BI164">
        <f t="shared" si="256"/>
        <v>4.8156995161749067E-2</v>
      </c>
      <c r="BJ164">
        <f t="shared" si="256"/>
        <v>-0.16872702801274128</v>
      </c>
      <c r="BK164">
        <f t="shared" si="256"/>
        <v>8.1611382913672287E-2</v>
      </c>
      <c r="BL164" t="str">
        <f t="shared" ref="BL164:CQ164" si="257">IF(BL96="","",LN(BL96/(c_1IL*BL86^c_2IL*BL88^c_3IL)))</f>
        <v/>
      </c>
      <c r="BM164">
        <f t="shared" si="257"/>
        <v>6.9669227476588269E-2</v>
      </c>
      <c r="BN164">
        <f t="shared" si="257"/>
        <v>0.18901170321419231</v>
      </c>
      <c r="BO164" t="str">
        <f t="shared" si="257"/>
        <v/>
      </c>
      <c r="BP164">
        <f t="shared" si="257"/>
        <v>-3.7426645485213655E-2</v>
      </c>
      <c r="BQ164">
        <f t="shared" si="257"/>
        <v>0.38854850306479932</v>
      </c>
      <c r="BR164">
        <f t="shared" si="257"/>
        <v>-8.2622080588941188E-3</v>
      </c>
      <c r="BS164">
        <f t="shared" si="257"/>
        <v>6.9821089246826409E-2</v>
      </c>
      <c r="BT164">
        <f t="shared" si="257"/>
        <v>0.33382359801335582</v>
      </c>
      <c r="BU164">
        <f t="shared" si="257"/>
        <v>0.14267840890889372</v>
      </c>
      <c r="BV164">
        <f t="shared" si="257"/>
        <v>7.8247438419411147E-2</v>
      </c>
      <c r="BW164">
        <f t="shared" si="257"/>
        <v>-2.9657439477172108E-2</v>
      </c>
      <c r="BX164">
        <f t="shared" si="257"/>
        <v>-6.4503721027008659E-2</v>
      </c>
      <c r="BY164">
        <f t="shared" si="257"/>
        <v>-1.7415192263608711E-2</v>
      </c>
      <c r="BZ164">
        <f t="shared" si="257"/>
        <v>-8.4135636720560514E-2</v>
      </c>
      <c r="CA164">
        <f t="shared" si="257"/>
        <v>0.19423986277290609</v>
      </c>
      <c r="CB164">
        <f t="shared" si="257"/>
        <v>2.5560708647511438E-2</v>
      </c>
      <c r="CC164">
        <f t="shared" si="257"/>
        <v>4.0646098654287227E-2</v>
      </c>
      <c r="CD164">
        <f t="shared" si="257"/>
        <v>-7.8914943889258016E-2</v>
      </c>
      <c r="CE164">
        <f t="shared" si="257"/>
        <v>-0.12847272197389151</v>
      </c>
      <c r="CF164">
        <f t="shared" si="257"/>
        <v>-0.20408081261727884</v>
      </c>
      <c r="CG164" t="str">
        <f t="shared" si="257"/>
        <v/>
      </c>
      <c r="CH164" t="str">
        <f t="shared" si="257"/>
        <v/>
      </c>
      <c r="CI164" t="str">
        <f t="shared" si="257"/>
        <v/>
      </c>
      <c r="CJ164" t="str">
        <f t="shared" si="257"/>
        <v/>
      </c>
      <c r="CK164" t="str">
        <f t="shared" si="257"/>
        <v/>
      </c>
      <c r="CL164" t="str">
        <f t="shared" si="257"/>
        <v/>
      </c>
      <c r="CM164" t="str">
        <f t="shared" si="257"/>
        <v/>
      </c>
      <c r="CN164" t="str">
        <f t="shared" si="257"/>
        <v/>
      </c>
      <c r="CO164" t="str">
        <f t="shared" si="257"/>
        <v/>
      </c>
      <c r="CP164">
        <f t="shared" si="257"/>
        <v>3.6452595463047334E-2</v>
      </c>
      <c r="CQ164">
        <f t="shared" si="257"/>
        <v>-3.7391089637489314E-2</v>
      </c>
      <c r="CR164">
        <f t="shared" ref="CR164:DW164" si="258">IF(CR96="","",LN(CR96/(c_1IL*CR86^c_2IL*CR88^c_3IL)))</f>
        <v>-0.31682440533986211</v>
      </c>
      <c r="CS164">
        <f t="shared" si="258"/>
        <v>0.14792808132698196</v>
      </c>
      <c r="CT164">
        <f t="shared" si="258"/>
        <v>-9.8692019930983962E-2</v>
      </c>
      <c r="CU164">
        <f t="shared" si="258"/>
        <v>-0.20369667210251535</v>
      </c>
      <c r="CV164">
        <f t="shared" si="258"/>
        <v>-0.29841118993129317</v>
      </c>
      <c r="CW164">
        <f t="shared" si="258"/>
        <v>5.6389810494493077E-2</v>
      </c>
      <c r="CX164">
        <f t="shared" si="258"/>
        <v>0.2404430162150481</v>
      </c>
      <c r="CY164">
        <f t="shared" si="258"/>
        <v>-0.12106554187812785</v>
      </c>
      <c r="CZ164">
        <f t="shared" si="258"/>
        <v>3.066608180062896E-2</v>
      </c>
      <c r="DA164">
        <f t="shared" si="258"/>
        <v>1.6838779838144197E-4</v>
      </c>
      <c r="DB164">
        <f t="shared" si="258"/>
        <v>-3.9821049155947794E-2</v>
      </c>
      <c r="DC164" t="str">
        <f t="shared" si="258"/>
        <v/>
      </c>
      <c r="DD164">
        <f t="shared" si="258"/>
        <v>-0.20190059374913802</v>
      </c>
      <c r="DE164">
        <f t="shared" si="258"/>
        <v>-2.1870163271098267E-2</v>
      </c>
      <c r="DF164" t="str">
        <f t="shared" si="258"/>
        <v/>
      </c>
      <c r="DG164" t="str">
        <f t="shared" si="258"/>
        <v/>
      </c>
      <c r="DH164">
        <f t="shared" si="258"/>
        <v>6.4941427551864606E-2</v>
      </c>
      <c r="DI164">
        <f t="shared" si="258"/>
        <v>-6.3670005706623067E-2</v>
      </c>
      <c r="DJ164">
        <f t="shared" si="258"/>
        <v>0.1092595695118028</v>
      </c>
      <c r="DK164">
        <f t="shared" si="258"/>
        <v>-7.9075031672795143E-2</v>
      </c>
      <c r="DL164">
        <f t="shared" si="258"/>
        <v>-0.17747954533152752</v>
      </c>
      <c r="DM164">
        <f t="shared" si="258"/>
        <v>0.25042584588044364</v>
      </c>
      <c r="DN164">
        <f t="shared" si="258"/>
        <v>0.1024166146356582</v>
      </c>
      <c r="DO164">
        <f t="shared" si="258"/>
        <v>4.5523325577194282E-2</v>
      </c>
      <c r="DP164">
        <f t="shared" si="258"/>
        <v>5.0053054177362305E-2</v>
      </c>
      <c r="DQ164">
        <f t="shared" si="258"/>
        <v>-8.4321834731029915E-2</v>
      </c>
      <c r="DR164">
        <f t="shared" si="258"/>
        <v>0.11302821426716959</v>
      </c>
      <c r="DS164">
        <f t="shared" si="258"/>
        <v>4.607371234274802E-2</v>
      </c>
      <c r="DT164" t="str">
        <f t="shared" si="258"/>
        <v/>
      </c>
      <c r="DU164" t="str">
        <f t="shared" si="258"/>
        <v/>
      </c>
      <c r="DV164">
        <f t="shared" si="258"/>
        <v>-8.3085952353854409E-2</v>
      </c>
      <c r="DW164" t="str">
        <f t="shared" si="258"/>
        <v/>
      </c>
      <c r="DX164" t="str">
        <f t="shared" ref="DX164:EL164" si="259">IF(DX96="","",LN(DX96/(c_1IL*DX86^c_2IL*DX88^c_3IL)))</f>
        <v/>
      </c>
      <c r="DY164">
        <f t="shared" si="259"/>
        <v>-0.29069803992498017</v>
      </c>
      <c r="DZ164">
        <f t="shared" si="259"/>
        <v>-7.8749281339388508E-2</v>
      </c>
      <c r="EA164">
        <f t="shared" si="259"/>
        <v>4.580178038695816E-2</v>
      </c>
      <c r="EB164">
        <f t="shared" si="259"/>
        <v>0.28638007230657442</v>
      </c>
      <c r="EC164">
        <f t="shared" si="259"/>
        <v>6.904566422268843E-2</v>
      </c>
      <c r="ED164">
        <f t="shared" si="259"/>
        <v>2.1032281220486351E-2</v>
      </c>
      <c r="EE164">
        <f t="shared" si="259"/>
        <v>8.2034965720069603E-2</v>
      </c>
      <c r="EF164">
        <f t="shared" si="259"/>
        <v>-8.6067133021136916E-2</v>
      </c>
      <c r="EG164">
        <f t="shared" si="259"/>
        <v>0.18460486307698706</v>
      </c>
      <c r="EH164" t="str">
        <f t="shared" si="259"/>
        <v/>
      </c>
      <c r="EI164">
        <f t="shared" si="259"/>
        <v>-9.9601543451499727E-2</v>
      </c>
      <c r="EJ164">
        <f t="shared" si="259"/>
        <v>-6.7666248201387086E-2</v>
      </c>
      <c r="EK164" t="str">
        <f t="shared" si="259"/>
        <v/>
      </c>
      <c r="EL164">
        <f t="shared" si="259"/>
        <v>-6.4120246291703889E-2</v>
      </c>
    </row>
    <row r="165" spans="3:167" x14ac:dyDescent="0.2">
      <c r="E165" s="10" cm="1">
        <f t="array" ref="E165">gavg(AF165,EL165)</f>
        <v>1.0000000190331004</v>
      </c>
      <c r="F165" cm="1">
        <f t="array" ref="F165">lnstdev(AF165,EL165)</f>
        <v>0.19059631899652177</v>
      </c>
      <c r="AE165" s="5" t="s">
        <v>621</v>
      </c>
      <c r="AF165" t="str">
        <f>IF(AF163="","",EXP(AF163))</f>
        <v/>
      </c>
      <c r="AG165" t="str">
        <f t="shared" ref="AG165:CR165" si="260">IF(AG163="","",EXP(AG163))</f>
        <v/>
      </c>
      <c r="AH165" t="str">
        <f t="shared" si="260"/>
        <v/>
      </c>
      <c r="AI165" t="str">
        <f t="shared" si="260"/>
        <v/>
      </c>
      <c r="AJ165" t="str">
        <f t="shared" si="260"/>
        <v/>
      </c>
      <c r="AK165" t="str">
        <f t="shared" si="260"/>
        <v/>
      </c>
      <c r="AL165">
        <f t="shared" si="260"/>
        <v>1.5126010543890374</v>
      </c>
      <c r="AM165">
        <f t="shared" si="260"/>
        <v>1.5445502730666385</v>
      </c>
      <c r="AN165">
        <f t="shared" si="260"/>
        <v>1.3398636145219069</v>
      </c>
      <c r="AO165">
        <f t="shared" si="260"/>
        <v>1.0941103470503644</v>
      </c>
      <c r="AP165">
        <f t="shared" si="260"/>
        <v>0.75454396165228621</v>
      </c>
      <c r="AQ165">
        <f t="shared" si="260"/>
        <v>0.58752971994642866</v>
      </c>
      <c r="AR165">
        <f t="shared" si="260"/>
        <v>0.79055981295149136</v>
      </c>
      <c r="AS165">
        <f t="shared" si="260"/>
        <v>0.92840278079517013</v>
      </c>
      <c r="AT165">
        <f t="shared" si="260"/>
        <v>1.0631780967363897</v>
      </c>
      <c r="AU165" t="str">
        <f t="shared" si="260"/>
        <v/>
      </c>
      <c r="AV165">
        <f t="shared" si="260"/>
        <v>0.7196936221734882</v>
      </c>
      <c r="AW165" t="str">
        <f t="shared" si="260"/>
        <v/>
      </c>
      <c r="AX165" t="str">
        <f t="shared" si="260"/>
        <v/>
      </c>
      <c r="AY165" t="str">
        <f t="shared" si="260"/>
        <v/>
      </c>
      <c r="AZ165" t="str">
        <f t="shared" si="260"/>
        <v/>
      </c>
      <c r="BA165" t="str">
        <f t="shared" si="260"/>
        <v/>
      </c>
      <c r="BB165">
        <f t="shared" si="260"/>
        <v>0.88774780637262607</v>
      </c>
      <c r="BC165" t="str">
        <f t="shared" si="260"/>
        <v/>
      </c>
      <c r="BD165" t="str">
        <f t="shared" si="260"/>
        <v/>
      </c>
      <c r="BE165" t="str">
        <f t="shared" si="260"/>
        <v/>
      </c>
      <c r="BF165" t="str">
        <f t="shared" si="260"/>
        <v/>
      </c>
      <c r="BG165" t="str">
        <f t="shared" si="260"/>
        <v/>
      </c>
      <c r="BH165" t="str">
        <f t="shared" si="260"/>
        <v/>
      </c>
      <c r="BI165">
        <f t="shared" si="260"/>
        <v>0.70688229091512322</v>
      </c>
      <c r="BJ165">
        <f t="shared" si="260"/>
        <v>0.84185882067456197</v>
      </c>
      <c r="BK165">
        <f t="shared" si="260"/>
        <v>0.63781013326889291</v>
      </c>
      <c r="BL165" t="str">
        <f t="shared" si="260"/>
        <v/>
      </c>
      <c r="BM165">
        <f t="shared" si="260"/>
        <v>1.2535334732696222</v>
      </c>
      <c r="BN165">
        <f t="shared" si="260"/>
        <v>1.0726684504584012</v>
      </c>
      <c r="BO165" t="str">
        <f t="shared" si="260"/>
        <v/>
      </c>
      <c r="BP165">
        <f t="shared" si="260"/>
        <v>1.0670837535709388</v>
      </c>
      <c r="BQ165">
        <f t="shared" si="260"/>
        <v>1.4013069889754997</v>
      </c>
      <c r="BR165">
        <f t="shared" si="260"/>
        <v>1.0447135460661456</v>
      </c>
      <c r="BS165">
        <f t="shared" si="260"/>
        <v>1.0940671527850943</v>
      </c>
      <c r="BT165">
        <f t="shared" si="260"/>
        <v>1.2428830857062334</v>
      </c>
      <c r="BU165">
        <f t="shared" si="260"/>
        <v>1.0480885051906634</v>
      </c>
      <c r="BV165">
        <f t="shared" si="260"/>
        <v>1.035375170367941</v>
      </c>
      <c r="BW165">
        <f t="shared" si="260"/>
        <v>0.87906894183794027</v>
      </c>
      <c r="BX165">
        <f t="shared" si="260"/>
        <v>0.90328929561542914</v>
      </c>
      <c r="BY165">
        <f t="shared" si="260"/>
        <v>0.85607480108599776</v>
      </c>
      <c r="BZ165">
        <f t="shared" si="260"/>
        <v>1.0234117800952187</v>
      </c>
      <c r="CA165">
        <f t="shared" si="260"/>
        <v>1.0814339356008342</v>
      </c>
      <c r="CB165">
        <f t="shared" si="260"/>
        <v>1.0509850544985764</v>
      </c>
      <c r="CC165">
        <f t="shared" si="260"/>
        <v>0.81727783610937643</v>
      </c>
      <c r="CD165">
        <f t="shared" si="260"/>
        <v>0.81440792423696484</v>
      </c>
      <c r="CE165">
        <f t="shared" si="260"/>
        <v>0.6959026428982118</v>
      </c>
      <c r="CF165">
        <f t="shared" si="260"/>
        <v>0.68568889407713085</v>
      </c>
      <c r="CG165" t="str">
        <f t="shared" si="260"/>
        <v/>
      </c>
      <c r="CH165" t="str">
        <f t="shared" si="260"/>
        <v/>
      </c>
      <c r="CI165" t="str">
        <f t="shared" si="260"/>
        <v/>
      </c>
      <c r="CJ165" t="str">
        <f t="shared" si="260"/>
        <v/>
      </c>
      <c r="CK165" t="str">
        <f t="shared" si="260"/>
        <v/>
      </c>
      <c r="CL165" t="str">
        <f t="shared" si="260"/>
        <v/>
      </c>
      <c r="CM165" t="str">
        <f t="shared" si="260"/>
        <v/>
      </c>
      <c r="CN165" t="str">
        <f t="shared" si="260"/>
        <v/>
      </c>
      <c r="CO165" t="str">
        <f t="shared" si="260"/>
        <v/>
      </c>
      <c r="CP165">
        <f t="shared" si="260"/>
        <v>0.95703646714408841</v>
      </c>
      <c r="CQ165">
        <f t="shared" si="260"/>
        <v>1.0765559444721671</v>
      </c>
      <c r="CR165">
        <f t="shared" si="260"/>
        <v>1.0106529065748984</v>
      </c>
      <c r="CS165">
        <f t="shared" ref="CS165:EL165" si="261">IF(CS163="","",EXP(CS163))</f>
        <v>1.208321864294243</v>
      </c>
      <c r="CT165">
        <f t="shared" si="261"/>
        <v>0.9409881078116441</v>
      </c>
      <c r="CU165">
        <f t="shared" si="261"/>
        <v>1.1065309719253995</v>
      </c>
      <c r="CV165">
        <f t="shared" si="261"/>
        <v>0.8831316056558639</v>
      </c>
      <c r="CW165">
        <f t="shared" si="261"/>
        <v>1.0790814832577182</v>
      </c>
      <c r="CX165">
        <f t="shared" si="261"/>
        <v>1.1957631054334636</v>
      </c>
      <c r="CY165">
        <f t="shared" si="261"/>
        <v>0.92419120874843819</v>
      </c>
      <c r="CZ165">
        <f t="shared" si="261"/>
        <v>0.9579300142221443</v>
      </c>
      <c r="DA165">
        <f t="shared" si="261"/>
        <v>0.98083693928541904</v>
      </c>
      <c r="DB165">
        <f t="shared" si="261"/>
        <v>1.1412888536252312</v>
      </c>
      <c r="DC165" t="str">
        <f t="shared" si="261"/>
        <v/>
      </c>
      <c r="DD165">
        <f t="shared" si="261"/>
        <v>0.82417998441659113</v>
      </c>
      <c r="DE165">
        <f t="shared" si="261"/>
        <v>1.1278000163631245</v>
      </c>
      <c r="DF165" t="str">
        <f t="shared" si="261"/>
        <v/>
      </c>
      <c r="DG165" t="str">
        <f t="shared" si="261"/>
        <v/>
      </c>
      <c r="DH165">
        <f t="shared" si="261"/>
        <v>1.0490668401355636</v>
      </c>
      <c r="DI165">
        <f t="shared" si="261"/>
        <v>1.1236492721882458</v>
      </c>
      <c r="DJ165">
        <f t="shared" si="261"/>
        <v>0.97725012154973845</v>
      </c>
      <c r="DK165">
        <f t="shared" si="261"/>
        <v>0.9304840398248948</v>
      </c>
      <c r="DL165">
        <f t="shared" si="261"/>
        <v>0.82890739800870394</v>
      </c>
      <c r="DM165">
        <f t="shared" si="261"/>
        <v>1.0747613484255449</v>
      </c>
      <c r="DN165">
        <f t="shared" si="261"/>
        <v>1.0109132856762415</v>
      </c>
      <c r="DO165">
        <f t="shared" si="261"/>
        <v>1.2630754946166631</v>
      </c>
      <c r="DP165">
        <f t="shared" si="261"/>
        <v>1.2735486817466808</v>
      </c>
      <c r="DQ165">
        <f t="shared" si="261"/>
        <v>0.93031417139789196</v>
      </c>
      <c r="DR165">
        <f t="shared" si="261"/>
        <v>0.98349351869348878</v>
      </c>
      <c r="DS165">
        <f t="shared" si="261"/>
        <v>0.94497358187386749</v>
      </c>
      <c r="DT165" t="str">
        <f t="shared" si="261"/>
        <v/>
      </c>
      <c r="DU165" t="str">
        <f t="shared" si="261"/>
        <v/>
      </c>
      <c r="DV165">
        <f t="shared" si="261"/>
        <v>1.0909853460520402</v>
      </c>
      <c r="DW165" t="str">
        <f t="shared" si="261"/>
        <v/>
      </c>
      <c r="DX165" t="str">
        <f t="shared" si="261"/>
        <v/>
      </c>
      <c r="DY165">
        <f t="shared" si="261"/>
        <v>0.95694229296830535</v>
      </c>
      <c r="DZ165">
        <f t="shared" si="261"/>
        <v>0.9538141312936681</v>
      </c>
      <c r="EA165">
        <f t="shared" si="261"/>
        <v>1.0521468661484559</v>
      </c>
      <c r="EB165">
        <f t="shared" si="261"/>
        <v>1.2467236446831509</v>
      </c>
      <c r="EC165">
        <f t="shared" si="261"/>
        <v>1.0093718078902234</v>
      </c>
      <c r="ED165">
        <f t="shared" si="261"/>
        <v>1.2793075023866538</v>
      </c>
      <c r="EE165">
        <f t="shared" si="261"/>
        <v>1.1155013966966676</v>
      </c>
      <c r="EF165">
        <f t="shared" si="261"/>
        <v>0.9153757828107193</v>
      </c>
      <c r="EG165">
        <f t="shared" si="261"/>
        <v>1.3469846035126554</v>
      </c>
      <c r="EH165" t="str">
        <f t="shared" si="261"/>
        <v/>
      </c>
      <c r="EI165">
        <f t="shared" si="261"/>
        <v>0.99842112898932278</v>
      </c>
      <c r="EJ165">
        <f t="shared" si="261"/>
        <v>1.0658712279696576</v>
      </c>
      <c r="EK165" t="str">
        <f t="shared" si="261"/>
        <v/>
      </c>
      <c r="EL165">
        <f t="shared" si="261"/>
        <v>0.98095070985983812</v>
      </c>
    </row>
    <row r="166" spans="3:167" x14ac:dyDescent="0.2">
      <c r="E166" s="10" cm="1">
        <f t="array" ref="E166">gavg(AF166,EL166)</f>
        <v>0.99999994397612413</v>
      </c>
      <c r="F166" cm="1">
        <f t="array" ref="F166">lnstdev(AF166,EL166)</f>
        <v>0.17469614688016802</v>
      </c>
      <c r="AE166" s="5" t="s">
        <v>622</v>
      </c>
      <c r="AF166" t="str">
        <f>IF(AF164="","",EXP(AF164))</f>
        <v/>
      </c>
      <c r="AG166" t="str">
        <f t="shared" ref="AG166:CR166" si="262">IF(AG164="","",EXP(AG164))</f>
        <v/>
      </c>
      <c r="AH166" t="str">
        <f t="shared" si="262"/>
        <v/>
      </c>
      <c r="AI166" t="str">
        <f t="shared" si="262"/>
        <v/>
      </c>
      <c r="AJ166" t="str">
        <f t="shared" si="262"/>
        <v/>
      </c>
      <c r="AK166" t="str">
        <f t="shared" si="262"/>
        <v/>
      </c>
      <c r="AL166">
        <f t="shared" si="262"/>
        <v>1.5605517203992347</v>
      </c>
      <c r="AM166">
        <f t="shared" si="262"/>
        <v>1.4423449121902767</v>
      </c>
      <c r="AN166">
        <f t="shared" si="262"/>
        <v>1.1643193121234052</v>
      </c>
      <c r="AO166">
        <f t="shared" si="262"/>
        <v>1.2259963919039951</v>
      </c>
      <c r="AP166">
        <f t="shared" si="262"/>
        <v>1.0388287892955566</v>
      </c>
      <c r="AQ166">
        <f t="shared" si="262"/>
        <v>1.0673832251345081</v>
      </c>
      <c r="AR166">
        <f t="shared" si="262"/>
        <v>0.6999044465859664</v>
      </c>
      <c r="AS166">
        <f t="shared" si="262"/>
        <v>0.75157373502077507</v>
      </c>
      <c r="AT166">
        <f t="shared" si="262"/>
        <v>0.75072991144725809</v>
      </c>
      <c r="AU166" t="str">
        <f t="shared" si="262"/>
        <v/>
      </c>
      <c r="AV166">
        <f t="shared" si="262"/>
        <v>0.76299202820174417</v>
      </c>
      <c r="AW166" t="str">
        <f t="shared" si="262"/>
        <v/>
      </c>
      <c r="AX166" t="str">
        <f t="shared" si="262"/>
        <v/>
      </c>
      <c r="AY166" t="str">
        <f t="shared" si="262"/>
        <v/>
      </c>
      <c r="AZ166" t="str">
        <f t="shared" si="262"/>
        <v/>
      </c>
      <c r="BA166" t="str">
        <f t="shared" si="262"/>
        <v/>
      </c>
      <c r="BB166">
        <f t="shared" si="262"/>
        <v>0.6840158214358234</v>
      </c>
      <c r="BC166" t="str">
        <f t="shared" si="262"/>
        <v/>
      </c>
      <c r="BD166" t="str">
        <f t="shared" si="262"/>
        <v/>
      </c>
      <c r="BE166" t="str">
        <f t="shared" si="262"/>
        <v/>
      </c>
      <c r="BF166" t="str">
        <f t="shared" si="262"/>
        <v/>
      </c>
      <c r="BG166" t="str">
        <f t="shared" si="262"/>
        <v/>
      </c>
      <c r="BH166" t="str">
        <f t="shared" si="262"/>
        <v/>
      </c>
      <c r="BI166">
        <f t="shared" si="262"/>
        <v>1.049335382971589</v>
      </c>
      <c r="BJ166">
        <f t="shared" si="262"/>
        <v>0.84473946212625639</v>
      </c>
      <c r="BK166">
        <f t="shared" si="262"/>
        <v>1.0850340651093056</v>
      </c>
      <c r="BL166" t="str">
        <f t="shared" si="262"/>
        <v/>
      </c>
      <c r="BM166">
        <f t="shared" si="262"/>
        <v>1.0721534836820628</v>
      </c>
      <c r="BN166">
        <f t="shared" si="262"/>
        <v>1.2080550905276519</v>
      </c>
      <c r="BO166" t="str">
        <f t="shared" si="262"/>
        <v/>
      </c>
      <c r="BP166">
        <f t="shared" si="262"/>
        <v>0.96326507497146108</v>
      </c>
      <c r="BQ166">
        <f t="shared" si="262"/>
        <v>1.4748385159180419</v>
      </c>
      <c r="BR166">
        <f t="shared" si="262"/>
        <v>0.99177183017394765</v>
      </c>
      <c r="BS166">
        <f t="shared" si="262"/>
        <v>1.0723163151716879</v>
      </c>
      <c r="BT166">
        <f t="shared" si="262"/>
        <v>1.3962968123168449</v>
      </c>
      <c r="BU166">
        <f t="shared" si="262"/>
        <v>1.1533588320937027</v>
      </c>
      <c r="BV166">
        <f t="shared" si="262"/>
        <v>1.0813902030509484</v>
      </c>
      <c r="BW166">
        <f t="shared" si="262"/>
        <v>0.97077802682414027</v>
      </c>
      <c r="BX166">
        <f t="shared" si="262"/>
        <v>0.93753262567133755</v>
      </c>
      <c r="BY166">
        <f t="shared" si="262"/>
        <v>0.98273557571073011</v>
      </c>
      <c r="BZ166">
        <f t="shared" si="262"/>
        <v>0.91930655591192023</v>
      </c>
      <c r="CA166">
        <f t="shared" si="262"/>
        <v>1.2143875343860293</v>
      </c>
      <c r="CB166">
        <f t="shared" si="262"/>
        <v>1.0258901847856168</v>
      </c>
      <c r="CC166">
        <f t="shared" si="262"/>
        <v>1.0414834579195864</v>
      </c>
      <c r="CD166">
        <f t="shared" si="262"/>
        <v>0.924118523029828</v>
      </c>
      <c r="CE166">
        <f t="shared" si="262"/>
        <v>0.87943755141171642</v>
      </c>
      <c r="CF166">
        <f t="shared" si="262"/>
        <v>0.81539647420147443</v>
      </c>
      <c r="CG166" t="str">
        <f t="shared" si="262"/>
        <v/>
      </c>
      <c r="CH166" t="str">
        <f t="shared" si="262"/>
        <v/>
      </c>
      <c r="CI166" t="str">
        <f t="shared" si="262"/>
        <v/>
      </c>
      <c r="CJ166" t="str">
        <f t="shared" si="262"/>
        <v/>
      </c>
      <c r="CK166" t="str">
        <f t="shared" si="262"/>
        <v/>
      </c>
      <c r="CL166" t="str">
        <f t="shared" si="262"/>
        <v/>
      </c>
      <c r="CM166" t="str">
        <f t="shared" si="262"/>
        <v/>
      </c>
      <c r="CN166" t="str">
        <f t="shared" si="262"/>
        <v/>
      </c>
      <c r="CO166" t="str">
        <f t="shared" si="262"/>
        <v/>
      </c>
      <c r="CP166">
        <f t="shared" si="262"/>
        <v>1.037125138415474</v>
      </c>
      <c r="CQ166">
        <f t="shared" si="262"/>
        <v>0.96329932528668083</v>
      </c>
      <c r="CR166">
        <f t="shared" si="262"/>
        <v>0.72845865734626081</v>
      </c>
      <c r="CS166">
        <f t="shared" ref="CS166:EL166" si="263">IF(CS164="","",EXP(CS164))</f>
        <v>1.15942950873272</v>
      </c>
      <c r="CT166">
        <f t="shared" si="263"/>
        <v>0.90602170168531471</v>
      </c>
      <c r="CU166">
        <f t="shared" si="263"/>
        <v>0.81570976119207095</v>
      </c>
      <c r="CV166">
        <f t="shared" si="263"/>
        <v>0.74199617565538545</v>
      </c>
      <c r="CW166">
        <f t="shared" si="263"/>
        <v>1.0580100267752839</v>
      </c>
      <c r="CX166">
        <f t="shared" si="263"/>
        <v>1.2718124590766064</v>
      </c>
      <c r="CY166">
        <f t="shared" si="263"/>
        <v>0.88597588916612202</v>
      </c>
      <c r="CZ166">
        <f t="shared" si="263"/>
        <v>1.0311411296040076</v>
      </c>
      <c r="DA166">
        <f t="shared" si="263"/>
        <v>1.0001684019764026</v>
      </c>
      <c r="DB166">
        <f t="shared" si="263"/>
        <v>0.96096138861820812</v>
      </c>
      <c r="DC166" t="str">
        <f t="shared" si="263"/>
        <v/>
      </c>
      <c r="DD166">
        <f t="shared" si="263"/>
        <v>0.81717615632285923</v>
      </c>
      <c r="DE166">
        <f t="shared" si="263"/>
        <v>0.97836725480914566</v>
      </c>
      <c r="DF166" t="str">
        <f t="shared" si="263"/>
        <v/>
      </c>
      <c r="DG166" t="str">
        <f t="shared" si="263"/>
        <v/>
      </c>
      <c r="DH166">
        <f t="shared" si="263"/>
        <v>1.0670965200981171</v>
      </c>
      <c r="DI166">
        <f t="shared" si="263"/>
        <v>0.93831458690595781</v>
      </c>
      <c r="DJ166">
        <f t="shared" si="263"/>
        <v>1.1154518500593316</v>
      </c>
      <c r="DK166">
        <f t="shared" si="263"/>
        <v>0.92397059478481891</v>
      </c>
      <c r="DL166">
        <f t="shared" si="263"/>
        <v>0.83737812745256146</v>
      </c>
      <c r="DM166">
        <f t="shared" si="263"/>
        <v>1.284572330063962</v>
      </c>
      <c r="DN166">
        <f t="shared" si="263"/>
        <v>1.1078449200059199</v>
      </c>
      <c r="DO166">
        <f t="shared" si="263"/>
        <v>1.0465754163049019</v>
      </c>
      <c r="DP166">
        <f t="shared" si="263"/>
        <v>1.0513268721787836</v>
      </c>
      <c r="DQ166">
        <f t="shared" si="263"/>
        <v>0.91913539879524975</v>
      </c>
      <c r="DR166">
        <f t="shared" si="263"/>
        <v>1.1196635229887166</v>
      </c>
      <c r="DS166">
        <f t="shared" si="263"/>
        <v>1.0471515961095146</v>
      </c>
      <c r="DT166" t="str">
        <f t="shared" si="263"/>
        <v/>
      </c>
      <c r="DU166" t="str">
        <f t="shared" si="263"/>
        <v/>
      </c>
      <c r="DV166">
        <f t="shared" si="263"/>
        <v>0.92027204427223952</v>
      </c>
      <c r="DW166" t="str">
        <f t="shared" si="263"/>
        <v/>
      </c>
      <c r="DX166" t="str">
        <f t="shared" si="263"/>
        <v/>
      </c>
      <c r="DY166">
        <f t="shared" si="263"/>
        <v>0.74774143199093179</v>
      </c>
      <c r="DZ166">
        <f t="shared" si="263"/>
        <v>0.92427162754222658</v>
      </c>
      <c r="EA166">
        <f t="shared" si="263"/>
        <v>1.0468668808413204</v>
      </c>
      <c r="EB166">
        <f t="shared" si="263"/>
        <v>1.3315984627856572</v>
      </c>
      <c r="EC166">
        <f t="shared" si="263"/>
        <v>1.071485136567105</v>
      </c>
      <c r="ED166">
        <f t="shared" si="263"/>
        <v>1.0212550184638449</v>
      </c>
      <c r="EE166">
        <f t="shared" si="263"/>
        <v>1.0854937642370912</v>
      </c>
      <c r="EF166">
        <f t="shared" si="263"/>
        <v>0.91753263241491145</v>
      </c>
      <c r="EG166">
        <f t="shared" si="263"/>
        <v>1.2027430980143456</v>
      </c>
      <c r="EH166" t="str">
        <f t="shared" si="263"/>
        <v/>
      </c>
      <c r="EI166">
        <f t="shared" si="263"/>
        <v>0.90519802826948748</v>
      </c>
      <c r="EJ166">
        <f t="shared" si="263"/>
        <v>0.93457233673019213</v>
      </c>
      <c r="EK166" t="str">
        <f t="shared" si="263"/>
        <v/>
      </c>
      <c r="EL166">
        <f t="shared" si="263"/>
        <v>0.9378922146890516</v>
      </c>
    </row>
    <row r="167" spans="3:167" x14ac:dyDescent="0.2">
      <c r="E167" s="10" cm="1">
        <f t="array" ref="E167">gavg(AF167,EL167)</f>
        <v>2.0098072909111613</v>
      </c>
      <c r="F167" cm="1">
        <f t="array" ref="F167">lnstdev(AF167,EL167)</f>
        <v>0.16749820930971829</v>
      </c>
      <c r="AE167" s="5" t="s">
        <v>597</v>
      </c>
      <c r="AF167" t="str">
        <f t="shared" ref="AF167:BK167" si="264">IF(AF95="","",LN(AF95))</f>
        <v/>
      </c>
      <c r="AG167" t="str">
        <f t="shared" si="264"/>
        <v/>
      </c>
      <c r="AH167" t="str">
        <f t="shared" si="264"/>
        <v/>
      </c>
      <c r="AI167" t="str">
        <f t="shared" si="264"/>
        <v/>
      </c>
      <c r="AJ167" t="str">
        <f t="shared" si="264"/>
        <v/>
      </c>
      <c r="AK167" t="str">
        <f t="shared" si="264"/>
        <v/>
      </c>
      <c r="AL167">
        <f t="shared" si="264"/>
        <v>1.7986491171060413</v>
      </c>
      <c r="AM167">
        <f t="shared" si="264"/>
        <v>1.8130701080567353</v>
      </c>
      <c r="AN167">
        <f t="shared" si="264"/>
        <v>1.6648529064691999</v>
      </c>
      <c r="AO167">
        <f t="shared" si="264"/>
        <v>1.4581301164522844</v>
      </c>
      <c r="AP167">
        <f t="shared" si="264"/>
        <v>1.6200246166555412</v>
      </c>
      <c r="AQ167">
        <f t="shared" si="264"/>
        <v>1.2846263370927014</v>
      </c>
      <c r="AR167">
        <f t="shared" si="264"/>
        <v>1.4914410686005466</v>
      </c>
      <c r="AS167">
        <f t="shared" si="264"/>
        <v>1.5923809693059887</v>
      </c>
      <c r="AT167">
        <f t="shared" si="264"/>
        <v>1.6857316466738181</v>
      </c>
      <c r="AU167" t="str">
        <f t="shared" si="264"/>
        <v/>
      </c>
      <c r="AV167">
        <f t="shared" si="264"/>
        <v>1.2591855638412444</v>
      </c>
      <c r="AW167" t="str">
        <f t="shared" si="264"/>
        <v/>
      </c>
      <c r="AX167" t="str">
        <f t="shared" si="264"/>
        <v/>
      </c>
      <c r="AY167" t="str">
        <f t="shared" si="264"/>
        <v/>
      </c>
      <c r="AZ167" t="str">
        <f t="shared" si="264"/>
        <v/>
      </c>
      <c r="BA167" t="str">
        <f t="shared" si="264"/>
        <v/>
      </c>
      <c r="BB167">
        <f t="shared" si="264"/>
        <v>1.4207423612098826</v>
      </c>
      <c r="BC167" t="str">
        <f t="shared" si="264"/>
        <v/>
      </c>
      <c r="BD167" t="str">
        <f t="shared" si="264"/>
        <v/>
      </c>
      <c r="BE167" t="str">
        <f t="shared" si="264"/>
        <v/>
      </c>
      <c r="BF167" t="str">
        <f t="shared" si="264"/>
        <v/>
      </c>
      <c r="BG167" t="str">
        <f t="shared" si="264"/>
        <v/>
      </c>
      <c r="BH167" t="str">
        <f t="shared" si="264"/>
        <v/>
      </c>
      <c r="BI167">
        <f t="shared" si="264"/>
        <v>1.5020430292342428</v>
      </c>
      <c r="BJ167">
        <f t="shared" si="264"/>
        <v>1.5884086997256708</v>
      </c>
      <c r="BK167">
        <f t="shared" si="264"/>
        <v>1.3594188260071898</v>
      </c>
      <c r="BL167" t="str">
        <f t="shared" ref="BL167:CQ167" si="265">IF(BL95="","",LN(BL95))</f>
        <v/>
      </c>
      <c r="BM167">
        <f t="shared" si="265"/>
        <v>2.3145601759389685</v>
      </c>
      <c r="BN167">
        <f t="shared" si="265"/>
        <v>2.191136888639277</v>
      </c>
      <c r="BO167" t="str">
        <f t="shared" si="265"/>
        <v/>
      </c>
      <c r="BP167">
        <f t="shared" si="265"/>
        <v>2.3619457320111796</v>
      </c>
      <c r="BQ167">
        <f t="shared" si="265"/>
        <v>2.6015756690521101</v>
      </c>
      <c r="BR167">
        <f t="shared" si="265"/>
        <v>2.268872658029188</v>
      </c>
      <c r="BS167">
        <f t="shared" si="265"/>
        <v>2.3082196813801765</v>
      </c>
      <c r="BT167">
        <f t="shared" si="265"/>
        <v>2.4325504787840235</v>
      </c>
      <c r="BU167">
        <f t="shared" si="265"/>
        <v>2.2586762916221605</v>
      </c>
      <c r="BV167">
        <f t="shared" si="265"/>
        <v>2.2370377976615914</v>
      </c>
      <c r="BW167">
        <f t="shared" si="265"/>
        <v>2.0791366248597107</v>
      </c>
      <c r="BX167">
        <f t="shared" si="265"/>
        <v>2.1106035402881962</v>
      </c>
      <c r="BY167">
        <f t="shared" si="265"/>
        <v>2.0737154521872951</v>
      </c>
      <c r="BZ167">
        <f t="shared" si="265"/>
        <v>2.3033643694001347</v>
      </c>
      <c r="CA167">
        <f t="shared" si="265"/>
        <v>2.2887089010151791</v>
      </c>
      <c r="CB167">
        <f t="shared" si="265"/>
        <v>2.2462236890787035</v>
      </c>
      <c r="CC167">
        <f t="shared" si="265"/>
        <v>2.0155474791352392</v>
      </c>
      <c r="CD167">
        <f t="shared" si="265"/>
        <v>2.0250584488129753</v>
      </c>
      <c r="CE167">
        <f t="shared" si="265"/>
        <v>1.8656431067227823</v>
      </c>
      <c r="CF167">
        <f t="shared" si="265"/>
        <v>1.8498734898344615</v>
      </c>
      <c r="CG167" t="str">
        <f t="shared" si="265"/>
        <v/>
      </c>
      <c r="CH167" t="str">
        <f t="shared" si="265"/>
        <v/>
      </c>
      <c r="CI167" t="str">
        <f t="shared" si="265"/>
        <v/>
      </c>
      <c r="CJ167" t="str">
        <f t="shared" si="265"/>
        <v/>
      </c>
      <c r="CK167" t="str">
        <f t="shared" si="265"/>
        <v/>
      </c>
      <c r="CL167" t="str">
        <f t="shared" si="265"/>
        <v/>
      </c>
      <c r="CM167" t="str">
        <f t="shared" si="265"/>
        <v/>
      </c>
      <c r="CN167" t="str">
        <f t="shared" si="265"/>
        <v/>
      </c>
      <c r="CO167" t="str">
        <f t="shared" si="265"/>
        <v/>
      </c>
      <c r="CP167">
        <f t="shared" si="265"/>
        <v>1.9782480077199942</v>
      </c>
      <c r="CQ167">
        <f t="shared" si="265"/>
        <v>2.0596570628370312</v>
      </c>
      <c r="CR167">
        <f t="shared" ref="CR167:DW167" si="266">IF(CR95="","",LN(CR95))</f>
        <v>1.9686774630114323</v>
      </c>
      <c r="CS167">
        <f t="shared" si="266"/>
        <v>2.1508479835196845</v>
      </c>
      <c r="CT167">
        <f t="shared" si="266"/>
        <v>1.8963104775071808</v>
      </c>
      <c r="CU167">
        <f t="shared" si="266"/>
        <v>2.0468589382979006</v>
      </c>
      <c r="CV167">
        <f t="shared" si="266"/>
        <v>1.8245167352059319</v>
      </c>
      <c r="CW167">
        <f t="shared" si="266"/>
        <v>2.0465062027655034</v>
      </c>
      <c r="CX167">
        <f t="shared" si="266"/>
        <v>2.1590147220052964</v>
      </c>
      <c r="CY167">
        <f t="shared" si="266"/>
        <v>1.8903629772262134</v>
      </c>
      <c r="CZ167">
        <f t="shared" si="266"/>
        <v>1.9410315648744347</v>
      </c>
      <c r="DA167">
        <f t="shared" si="266"/>
        <v>1.9664601497696923</v>
      </c>
      <c r="DB167">
        <f t="shared" si="266"/>
        <v>2.1343665549805904</v>
      </c>
      <c r="DC167" t="str">
        <f t="shared" si="266"/>
        <v/>
      </c>
      <c r="DD167">
        <f t="shared" si="266"/>
        <v>1.8046553076875969</v>
      </c>
      <c r="DE167">
        <f t="shared" si="266"/>
        <v>2.1589401558563903</v>
      </c>
      <c r="DF167" t="str">
        <f t="shared" si="266"/>
        <v/>
      </c>
      <c r="DG167" t="str">
        <f t="shared" si="266"/>
        <v/>
      </c>
      <c r="DH167">
        <f t="shared" si="266"/>
        <v>1.9944750325256959</v>
      </c>
      <c r="DI167">
        <f t="shared" si="266"/>
        <v>2.0803487877823787</v>
      </c>
      <c r="DJ167">
        <f t="shared" si="266"/>
        <v>1.9566923728623604</v>
      </c>
      <c r="DK167">
        <f t="shared" si="266"/>
        <v>1.9226322761271948</v>
      </c>
      <c r="DL167">
        <f t="shared" si="266"/>
        <v>1.8250609672789189</v>
      </c>
      <c r="DM167">
        <f t="shared" si="266"/>
        <v>2.2626296892062072</v>
      </c>
      <c r="DN167">
        <f t="shared" si="266"/>
        <v>2.1051213697237743</v>
      </c>
      <c r="DO167">
        <f t="shared" si="266"/>
        <v>2.3790859022128217</v>
      </c>
      <c r="DP167">
        <f t="shared" si="266"/>
        <v>2.2966342698136244</v>
      </c>
      <c r="DQ167">
        <f t="shared" si="266"/>
        <v>2.0373046941337858</v>
      </c>
      <c r="DR167">
        <f t="shared" si="266"/>
        <v>1.8121101071068986</v>
      </c>
      <c r="DS167">
        <f t="shared" si="266"/>
        <v>1.8141598539591899</v>
      </c>
      <c r="DT167" t="str">
        <f t="shared" si="266"/>
        <v/>
      </c>
      <c r="DU167" t="str">
        <f t="shared" si="266"/>
        <v/>
      </c>
      <c r="DV167">
        <f t="shared" si="266"/>
        <v>2.4533644108243959</v>
      </c>
      <c r="DW167" t="str">
        <f t="shared" si="266"/>
        <v/>
      </c>
      <c r="DX167" t="str">
        <f t="shared" ref="DX167:EL167" si="267">IF(DX95="","",LN(DX95))</f>
        <v/>
      </c>
      <c r="DY167">
        <f t="shared" si="267"/>
        <v>2.4716469540738828</v>
      </c>
      <c r="DZ167">
        <f t="shared" si="267"/>
        <v>2.3137936834690827</v>
      </c>
      <c r="EA167">
        <f t="shared" si="267"/>
        <v>2.375209876904218</v>
      </c>
      <c r="EB167">
        <f t="shared" si="267"/>
        <v>2.5331758807348548</v>
      </c>
      <c r="EC167">
        <f t="shared" si="267"/>
        <v>2.2996616237006542</v>
      </c>
      <c r="ED167">
        <f t="shared" si="267"/>
        <v>2.5314398954537394</v>
      </c>
      <c r="EE167">
        <f t="shared" si="267"/>
        <v>2.4002011064172186</v>
      </c>
      <c r="EF167">
        <f t="shared" si="267"/>
        <v>2.1830129218385173</v>
      </c>
      <c r="EG167">
        <f t="shared" si="267"/>
        <v>2.505901080401673</v>
      </c>
      <c r="EH167" t="str">
        <f t="shared" si="267"/>
        <v/>
      </c>
      <c r="EI167">
        <f t="shared" si="267"/>
        <v>2.2225052994914574</v>
      </c>
      <c r="EJ167">
        <f t="shared" si="267"/>
        <v>2.315308370703129</v>
      </c>
      <c r="EK167" t="str">
        <f t="shared" si="267"/>
        <v/>
      </c>
      <c r="EL167">
        <f t="shared" si="267"/>
        <v>2.1688398935060795</v>
      </c>
    </row>
    <row r="168" spans="3:167" x14ac:dyDescent="0.2">
      <c r="E168" s="10" cm="1">
        <f t="array" ref="E168">gavg(AF168,EL168)</f>
        <v>1.8488121121283785</v>
      </c>
      <c r="F168" cm="1">
        <f t="array" ref="F168">lnstdev(AF168,EL168)</f>
        <v>0.21062701198491454</v>
      </c>
      <c r="AE168" s="5" t="s">
        <v>598</v>
      </c>
      <c r="AF168" t="str">
        <f t="shared" ref="AF168:BK168" si="268">IF(AF96="","",LN(AF96))</f>
        <v/>
      </c>
      <c r="AG168" t="str">
        <f t="shared" si="268"/>
        <v/>
      </c>
      <c r="AH168" t="str">
        <f t="shared" si="268"/>
        <v/>
      </c>
      <c r="AI168" t="str">
        <f t="shared" si="268"/>
        <v/>
      </c>
      <c r="AJ168" t="str">
        <f t="shared" si="268"/>
        <v/>
      </c>
      <c r="AK168" t="str">
        <f t="shared" si="268"/>
        <v/>
      </c>
      <c r="AL168">
        <f t="shared" si="268"/>
        <v>1.5374605539862281</v>
      </c>
      <c r="AM168">
        <f t="shared" si="268"/>
        <v>1.4540762416086415</v>
      </c>
      <c r="AN168">
        <f t="shared" si="268"/>
        <v>1.2352845143115128</v>
      </c>
      <c r="AO168">
        <f t="shared" si="268"/>
        <v>1.2845118074936623</v>
      </c>
      <c r="AP168">
        <f t="shared" si="268"/>
        <v>1.700297925119115</v>
      </c>
      <c r="AQ168">
        <f t="shared" si="268"/>
        <v>1.6425404591706334</v>
      </c>
      <c r="AR168">
        <f t="shared" si="268"/>
        <v>1.1309502606274036</v>
      </c>
      <c r="AS168">
        <f t="shared" si="268"/>
        <v>1.1425908369159936</v>
      </c>
      <c r="AT168">
        <f t="shared" si="268"/>
        <v>1.0997120572478014</v>
      </c>
      <c r="AU168" t="str">
        <f t="shared" si="268"/>
        <v/>
      </c>
      <c r="AV168">
        <f t="shared" si="268"/>
        <v>1.0828215262400993</v>
      </c>
      <c r="AW168" t="str">
        <f t="shared" si="268"/>
        <v/>
      </c>
      <c r="AX168" t="str">
        <f t="shared" si="268"/>
        <v/>
      </c>
      <c r="AY168" t="str">
        <f t="shared" si="268"/>
        <v/>
      </c>
      <c r="AZ168" t="str">
        <f t="shared" si="268"/>
        <v/>
      </c>
      <c r="BA168" t="str">
        <f t="shared" si="268"/>
        <v/>
      </c>
      <c r="BB168">
        <f t="shared" si="268"/>
        <v>0.93088179414983541</v>
      </c>
      <c r="BC168" t="str">
        <f t="shared" si="268"/>
        <v/>
      </c>
      <c r="BD168" t="str">
        <f t="shared" si="268"/>
        <v/>
      </c>
      <c r="BE168" t="str">
        <f t="shared" si="268"/>
        <v/>
      </c>
      <c r="BF168" t="str">
        <f t="shared" si="268"/>
        <v/>
      </c>
      <c r="BG168" t="str">
        <f t="shared" si="268"/>
        <v/>
      </c>
      <c r="BH168" t="str">
        <f t="shared" si="268"/>
        <v/>
      </c>
      <c r="BI168">
        <f t="shared" si="268"/>
        <v>1.6574953337592315</v>
      </c>
      <c r="BJ168">
        <f t="shared" si="268"/>
        <v>1.3524192543050961</v>
      </c>
      <c r="BK168">
        <f t="shared" si="268"/>
        <v>1.6510897916527156</v>
      </c>
      <c r="BL168" t="str">
        <f t="shared" ref="BL168:CQ168" si="269">IF(BL96="","",LN(BL96))</f>
        <v/>
      </c>
      <c r="BM168">
        <f t="shared" si="269"/>
        <v>2.0416518706794058</v>
      </c>
      <c r="BN168">
        <f t="shared" si="269"/>
        <v>2.2131516935066502</v>
      </c>
      <c r="BO168" t="str">
        <f t="shared" si="269"/>
        <v/>
      </c>
      <c r="BP168">
        <f t="shared" si="269"/>
        <v>2.1649383751289415</v>
      </c>
      <c r="BQ168">
        <f t="shared" si="269"/>
        <v>2.5593303443164781</v>
      </c>
      <c r="BR168">
        <f t="shared" si="269"/>
        <v>2.1234675345207052</v>
      </c>
      <c r="BS168">
        <f t="shared" si="269"/>
        <v>2.1972221463425305</v>
      </c>
      <c r="BT168">
        <f t="shared" si="269"/>
        <v>2.4604557680656711</v>
      </c>
      <c r="BU168">
        <f t="shared" si="269"/>
        <v>2.2680352291362391</v>
      </c>
      <c r="BV168">
        <f t="shared" si="269"/>
        <v>2.1954955148852897</v>
      </c>
      <c r="BW168">
        <f t="shared" si="269"/>
        <v>2.0977594963360091</v>
      </c>
      <c r="BX168">
        <f t="shared" si="269"/>
        <v>2.0693221459664417</v>
      </c>
      <c r="BY168">
        <f t="shared" si="269"/>
        <v>2.1363932322549499</v>
      </c>
      <c r="BZ168">
        <f t="shared" si="269"/>
        <v>2.0999089733500611</v>
      </c>
      <c r="CA168">
        <f t="shared" si="269"/>
        <v>2.3181943737830939</v>
      </c>
      <c r="CB168">
        <f t="shared" si="269"/>
        <v>2.1336901755569415</v>
      </c>
      <c r="CC168">
        <f t="shared" si="269"/>
        <v>2.1811734179557645</v>
      </c>
      <c r="CD168">
        <f t="shared" si="269"/>
        <v>2.0777462745857798</v>
      </c>
      <c r="CE168">
        <f t="shared" si="269"/>
        <v>2.0272234912158993</v>
      </c>
      <c r="CF168">
        <f t="shared" si="269"/>
        <v>1.9518628435849767</v>
      </c>
      <c r="CG168" t="str">
        <f t="shared" si="269"/>
        <v/>
      </c>
      <c r="CH168" t="str">
        <f t="shared" si="269"/>
        <v/>
      </c>
      <c r="CI168" t="str">
        <f t="shared" si="269"/>
        <v/>
      </c>
      <c r="CJ168" t="str">
        <f t="shared" si="269"/>
        <v/>
      </c>
      <c r="CK168" t="str">
        <f t="shared" si="269"/>
        <v/>
      </c>
      <c r="CL168" t="str">
        <f t="shared" si="269"/>
        <v/>
      </c>
      <c r="CM168" t="str">
        <f t="shared" si="269"/>
        <v/>
      </c>
      <c r="CN168" t="str">
        <f t="shared" si="269"/>
        <v/>
      </c>
      <c r="CO168" t="str">
        <f t="shared" si="269"/>
        <v/>
      </c>
      <c r="CP168">
        <f t="shared" si="269"/>
        <v>1.890847510855751</v>
      </c>
      <c r="CQ168">
        <f t="shared" si="269"/>
        <v>1.7825046763503116</v>
      </c>
      <c r="CR168">
        <f t="shared" ref="CR168:DW168" si="270">IF(CR96="","",LN(CR96))</f>
        <v>1.4768271387673408</v>
      </c>
      <c r="CS168">
        <f t="shared" si="270"/>
        <v>1.9489907504850945</v>
      </c>
      <c r="CT168">
        <f t="shared" si="270"/>
        <v>1.7005289635250556</v>
      </c>
      <c r="CU168">
        <f t="shared" si="270"/>
        <v>1.5855971041525543</v>
      </c>
      <c r="CV168">
        <f t="shared" si="270"/>
        <v>1.4967682661461363</v>
      </c>
      <c r="CW168">
        <f t="shared" si="270"/>
        <v>1.8774709821596232</v>
      </c>
      <c r="CX168">
        <f t="shared" si="270"/>
        <v>2.0743092954205147</v>
      </c>
      <c r="CY168">
        <f t="shared" si="270"/>
        <v>1.702528738263821</v>
      </c>
      <c r="CZ168">
        <f t="shared" si="270"/>
        <v>1.8722172915999049</v>
      </c>
      <c r="DA168">
        <f t="shared" si="270"/>
        <v>1.8452762832571237</v>
      </c>
      <c r="DB168">
        <f t="shared" si="270"/>
        <v>1.8247630346470765</v>
      </c>
      <c r="DC168" t="str">
        <f t="shared" si="270"/>
        <v/>
      </c>
      <c r="DD168">
        <f t="shared" si="270"/>
        <v>1.6580874813516002</v>
      </c>
      <c r="DE168">
        <f t="shared" si="270"/>
        <v>1.8438616428820427</v>
      </c>
      <c r="DF168" t="str">
        <f t="shared" si="270"/>
        <v/>
      </c>
      <c r="DG168" t="str">
        <f t="shared" si="270"/>
        <v/>
      </c>
      <c r="DH168">
        <f t="shared" si="270"/>
        <v>1.8697739342690016</v>
      </c>
      <c r="DI168">
        <f t="shared" si="270"/>
        <v>1.7626087322904207</v>
      </c>
      <c r="DJ168">
        <f t="shared" si="270"/>
        <v>1.9553390328437572</v>
      </c>
      <c r="DK168">
        <f t="shared" si="270"/>
        <v>1.7855505568367662</v>
      </c>
      <c r="DL168">
        <f t="shared" si="270"/>
        <v>1.7088642231958311</v>
      </c>
      <c r="DM168">
        <f t="shared" si="270"/>
        <v>2.2723310506542895</v>
      </c>
      <c r="DN168">
        <f t="shared" si="270"/>
        <v>2.0288537847762931</v>
      </c>
      <c r="DO168">
        <f t="shared" si="270"/>
        <v>2.0226667040309283</v>
      </c>
      <c r="DP168">
        <f t="shared" si="270"/>
        <v>1.9376908707141869</v>
      </c>
      <c r="DQ168">
        <f t="shared" si="270"/>
        <v>1.8571607569040149</v>
      </c>
      <c r="DR168">
        <f t="shared" si="270"/>
        <v>1.7849998299095566</v>
      </c>
      <c r="DS168">
        <f t="shared" si="270"/>
        <v>1.7685764522481069</v>
      </c>
      <c r="DT168" t="str">
        <f t="shared" si="270"/>
        <v/>
      </c>
      <c r="DU168" t="str">
        <f t="shared" si="270"/>
        <v/>
      </c>
      <c r="DV168">
        <f t="shared" si="270"/>
        <v>2.1498749928328826</v>
      </c>
      <c r="DW168" t="str">
        <f t="shared" si="270"/>
        <v/>
      </c>
      <c r="DX168" t="str">
        <f t="shared" ref="DX168:EL168" si="271">IF(DX96="","",LN(DX96))</f>
        <v/>
      </c>
      <c r="DY168">
        <f t="shared" si="271"/>
        <v>2.0886111135290135</v>
      </c>
      <c r="DZ168">
        <f t="shared" si="271"/>
        <v>2.1485384634118092</v>
      </c>
      <c r="EA168">
        <f t="shared" si="271"/>
        <v>2.2373926619104001</v>
      </c>
      <c r="EB168">
        <f t="shared" si="271"/>
        <v>2.4688319544770883</v>
      </c>
      <c r="EC168">
        <f t="shared" si="271"/>
        <v>2.2303082890555315</v>
      </c>
      <c r="ED168">
        <f t="shared" si="271"/>
        <v>2.1793769114821542</v>
      </c>
      <c r="EE168">
        <f t="shared" si="271"/>
        <v>2.2491600358176096</v>
      </c>
      <c r="EF168">
        <f t="shared" si="271"/>
        <v>2.0620736664645416</v>
      </c>
      <c r="EG168">
        <f t="shared" si="271"/>
        <v>2.2635959117515276</v>
      </c>
      <c r="EH168" t="str">
        <f t="shared" si="271"/>
        <v/>
      </c>
      <c r="EI168">
        <f t="shared" si="271"/>
        <v>2.0041691905491423</v>
      </c>
      <c r="EJ168">
        <f t="shared" si="271"/>
        <v>2.0675395092450186</v>
      </c>
      <c r="EK168" t="str">
        <f t="shared" si="271"/>
        <v/>
      </c>
      <c r="EL168">
        <f t="shared" si="271"/>
        <v>1.9951183003380932</v>
      </c>
    </row>
    <row r="169" spans="3:167" x14ac:dyDescent="0.2">
      <c r="E169" s="10" cm="1">
        <f t="array" ref="E169">gavg(AF169,EL169)</f>
        <v>0.10112831661760195</v>
      </c>
      <c r="F169" cm="1">
        <f t="array" ref="F169">lnstdev(AF169,EL169)</f>
        <v>1.017406219309553</v>
      </c>
      <c r="AE169" s="5" t="s">
        <v>606</v>
      </c>
      <c r="AF169" t="str">
        <f t="shared" ref="AF169:BK169" si="272">IF(AF95="","",LN(AF95/(a_1CF*AF88^c_2CF)))</f>
        <v/>
      </c>
      <c r="AG169" t="str">
        <f t="shared" si="272"/>
        <v/>
      </c>
      <c r="AH169" t="str">
        <f t="shared" si="272"/>
        <v/>
      </c>
      <c r="AI169" t="str">
        <f t="shared" si="272"/>
        <v/>
      </c>
      <c r="AJ169" t="str">
        <f t="shared" si="272"/>
        <v/>
      </c>
      <c r="AK169" t="str">
        <f t="shared" si="272"/>
        <v/>
      </c>
      <c r="AL169">
        <f t="shared" si="272"/>
        <v>0.11587619939013732</v>
      </c>
      <c r="AM169">
        <f t="shared" si="272"/>
        <v>0.14402842986307374</v>
      </c>
      <c r="AN169">
        <f t="shared" si="272"/>
        <v>7.5492878541508482E-3</v>
      </c>
      <c r="AO169">
        <f t="shared" si="272"/>
        <v>-0.18885344573401869</v>
      </c>
      <c r="AP169">
        <f t="shared" si="272"/>
        <v>-0.52977028351376665</v>
      </c>
      <c r="AQ169">
        <f t="shared" si="272"/>
        <v>-0.75995238574126167</v>
      </c>
      <c r="AR169">
        <f t="shared" si="272"/>
        <v>-0.44177838735066144</v>
      </c>
      <c r="AS169">
        <f t="shared" si="272"/>
        <v>-0.26713577875463845</v>
      </c>
      <c r="AT169">
        <f t="shared" si="272"/>
        <v>-0.12080831140947398</v>
      </c>
      <c r="AU169" t="str">
        <f t="shared" si="272"/>
        <v/>
      </c>
      <c r="AV169">
        <f t="shared" si="272"/>
        <v>-0.492761746275382</v>
      </c>
      <c r="AW169" t="str">
        <f t="shared" si="272"/>
        <v/>
      </c>
      <c r="AX169" t="str">
        <f t="shared" si="272"/>
        <v/>
      </c>
      <c r="AY169" t="str">
        <f t="shared" si="272"/>
        <v/>
      </c>
      <c r="AZ169" t="str">
        <f t="shared" si="272"/>
        <v/>
      </c>
      <c r="BA169" t="str">
        <f t="shared" si="272"/>
        <v/>
      </c>
      <c r="BB169">
        <f t="shared" si="272"/>
        <v>-0.25462333918691166</v>
      </c>
      <c r="BC169" t="str">
        <f t="shared" si="272"/>
        <v/>
      </c>
      <c r="BD169" t="str">
        <f t="shared" si="272"/>
        <v/>
      </c>
      <c r="BE169" t="str">
        <f t="shared" si="272"/>
        <v/>
      </c>
      <c r="BF169" t="str">
        <f t="shared" si="272"/>
        <v/>
      </c>
      <c r="BG169" t="str">
        <f t="shared" si="272"/>
        <v/>
      </c>
      <c r="BH169" t="str">
        <f t="shared" si="272"/>
        <v/>
      </c>
      <c r="BI169">
        <f t="shared" si="272"/>
        <v>-0.58370653354674551</v>
      </c>
      <c r="BJ169">
        <f t="shared" si="272"/>
        <v>-0.38870766469728529</v>
      </c>
      <c r="BK169">
        <f t="shared" si="272"/>
        <v>-0.67786208346580346</v>
      </c>
      <c r="BL169" t="str">
        <f t="shared" ref="BL169:CQ169" si="273">IF(BL95="","",LN(BL95/(a_1CF*BL88^c_2CF)))</f>
        <v/>
      </c>
      <c r="BM169">
        <f t="shared" si="273"/>
        <v>0.31868792009161306</v>
      </c>
      <c r="BN169">
        <f t="shared" si="273"/>
        <v>0.21718899464068447</v>
      </c>
      <c r="BO169" t="str">
        <f t="shared" si="273"/>
        <v/>
      </c>
      <c r="BP169">
        <f t="shared" si="273"/>
        <v>0.1796537195604733</v>
      </c>
      <c r="BQ169">
        <f t="shared" si="273"/>
        <v>0.46336611112828596</v>
      </c>
      <c r="BR169">
        <f t="shared" si="273"/>
        <v>0.17835027154824729</v>
      </c>
      <c r="BS169">
        <f t="shared" si="273"/>
        <v>0.23375621543232719</v>
      </c>
      <c r="BT169">
        <f t="shared" si="273"/>
        <v>0.36957038019652766</v>
      </c>
      <c r="BU169">
        <f t="shared" si="273"/>
        <v>0.20650301247864594</v>
      </c>
      <c r="BV169">
        <f t="shared" si="273"/>
        <v>0.20052355286160964</v>
      </c>
      <c r="BW169">
        <f t="shared" si="273"/>
        <v>4.9328998778328387E-2</v>
      </c>
      <c r="BX169">
        <f t="shared" si="273"/>
        <v>8.2159219096729824E-2</v>
      </c>
      <c r="BY169">
        <f t="shared" si="273"/>
        <v>3.4654443405020011E-2</v>
      </c>
      <c r="BZ169">
        <f t="shared" si="273"/>
        <v>0.13684929896693082</v>
      </c>
      <c r="CA169">
        <f t="shared" si="273"/>
        <v>0.23775094587846834</v>
      </c>
      <c r="CB169">
        <f t="shared" si="273"/>
        <v>0.20637410366425962</v>
      </c>
      <c r="CC169">
        <f t="shared" si="273"/>
        <v>-1.374585467378828E-2</v>
      </c>
      <c r="CD169">
        <f t="shared" si="273"/>
        <v>-1.0495156097519073E-2</v>
      </c>
      <c r="CE169">
        <f t="shared" si="273"/>
        <v>-0.16353395208017199</v>
      </c>
      <c r="CF169">
        <f t="shared" si="273"/>
        <v>-0.17426790767791869</v>
      </c>
      <c r="CG169" t="str">
        <f t="shared" si="273"/>
        <v/>
      </c>
      <c r="CH169" t="str">
        <f t="shared" si="273"/>
        <v/>
      </c>
      <c r="CI169" t="str">
        <f t="shared" si="273"/>
        <v/>
      </c>
      <c r="CJ169" t="str">
        <f t="shared" si="273"/>
        <v/>
      </c>
      <c r="CK169" t="str">
        <f t="shared" si="273"/>
        <v/>
      </c>
      <c r="CL169" t="str">
        <f t="shared" si="273"/>
        <v/>
      </c>
      <c r="CM169" t="str">
        <f t="shared" si="273"/>
        <v/>
      </c>
      <c r="CN169" t="str">
        <f t="shared" si="273"/>
        <v/>
      </c>
      <c r="CO169" t="str">
        <f t="shared" si="273"/>
        <v/>
      </c>
      <c r="CP169">
        <f t="shared" si="273"/>
        <v>-9.5660224213073033E-2</v>
      </c>
      <c r="CQ169">
        <f t="shared" si="273"/>
        <v>3.5605971910658958E-2</v>
      </c>
      <c r="CR169">
        <f t="shared" ref="CR169:DW169" si="274">IF(CR95="","",LN(CR95/(a_1CF*CR88^c_2CF)))</f>
        <v>-1.6507679192194875E-2</v>
      </c>
      <c r="CS169">
        <f t="shared" si="274"/>
        <v>0.1734095076531231</v>
      </c>
      <c r="CT169">
        <f t="shared" si="274"/>
        <v>-6.7437738342703266E-2</v>
      </c>
      <c r="CU169">
        <f t="shared" si="274"/>
        <v>0.10209133950525058</v>
      </c>
      <c r="CV169">
        <f t="shared" si="274"/>
        <v>-0.11566664976268218</v>
      </c>
      <c r="CW169">
        <f t="shared" si="274"/>
        <v>9.3317207686461845E-2</v>
      </c>
      <c r="CX169">
        <f t="shared" si="274"/>
        <v>0.20299035902106058</v>
      </c>
      <c r="CY169">
        <f t="shared" si="274"/>
        <v>-4.9814663272561725E-2</v>
      </c>
      <c r="CZ169">
        <f t="shared" si="274"/>
        <v>-7.4663051515420084E-3</v>
      </c>
      <c r="DA169">
        <f t="shared" si="274"/>
        <v>2.1243016820530796E-2</v>
      </c>
      <c r="DB169">
        <f t="shared" si="274"/>
        <v>0.17868136111519714</v>
      </c>
      <c r="DC169" t="str">
        <f t="shared" si="274"/>
        <v/>
      </c>
      <c r="DD169">
        <f t="shared" si="274"/>
        <v>-0.14718611325293346</v>
      </c>
      <c r="DE169">
        <f t="shared" si="274"/>
        <v>4.8748395210179714E-2</v>
      </c>
      <c r="DF169" t="str">
        <f t="shared" si="274"/>
        <v/>
      </c>
      <c r="DG169" t="str">
        <f t="shared" si="274"/>
        <v/>
      </c>
      <c r="DH169">
        <f t="shared" si="274"/>
        <v>9.3981757056424947E-2</v>
      </c>
      <c r="DI169">
        <f t="shared" si="274"/>
        <v>0.17207788114310527</v>
      </c>
      <c r="DJ169">
        <f t="shared" si="274"/>
        <v>4.0963355764137524E-2</v>
      </c>
      <c r="DK169">
        <f t="shared" si="274"/>
        <v>-2.9712421607577263E-4</v>
      </c>
      <c r="DL169">
        <f t="shared" si="274"/>
        <v>-0.10840666850689573</v>
      </c>
      <c r="DM169">
        <f t="shared" si="274"/>
        <v>-1.977010995163149E-2</v>
      </c>
      <c r="DN169">
        <f t="shared" si="274"/>
        <v>-5.7126440021355807E-2</v>
      </c>
      <c r="DO169">
        <f t="shared" si="274"/>
        <v>0.15241365088664621</v>
      </c>
      <c r="DP169">
        <f t="shared" si="274"/>
        <v>0.18459367800727919</v>
      </c>
      <c r="DQ169">
        <f t="shared" si="274"/>
        <v>-0.14431036231396588</v>
      </c>
      <c r="DR169">
        <f t="shared" si="274"/>
        <v>8.8194803110784627E-3</v>
      </c>
      <c r="DS169">
        <f t="shared" si="274"/>
        <v>-1.3932176766425329E-2</v>
      </c>
      <c r="DT169" t="str">
        <f t="shared" si="274"/>
        <v/>
      </c>
      <c r="DU169" t="str">
        <f t="shared" si="274"/>
        <v/>
      </c>
      <c r="DV169">
        <f t="shared" si="274"/>
        <v>6.6019648337450901E-2</v>
      </c>
      <c r="DW169" t="str">
        <f t="shared" si="274"/>
        <v/>
      </c>
      <c r="DX169" t="str">
        <f t="shared" ref="DX169:EL169" si="275">IF(DX95="","",LN(DX95/(a_1CF*DX88^c_2CF)))</f>
        <v/>
      </c>
      <c r="DY169">
        <f t="shared" si="275"/>
        <v>-0.10772306100342061</v>
      </c>
      <c r="DZ169">
        <f t="shared" si="275"/>
        <v>-6.8654557567678298E-2</v>
      </c>
      <c r="EA169">
        <f t="shared" si="275"/>
        <v>4.0759968835995822E-2</v>
      </c>
      <c r="EB169">
        <f t="shared" si="275"/>
        <v>0.22108851854118858</v>
      </c>
      <c r="EC169">
        <f t="shared" si="275"/>
        <v>1.8393272847056993E-2</v>
      </c>
      <c r="ED169">
        <f t="shared" si="275"/>
        <v>0.26368593622136888</v>
      </c>
      <c r="EE169">
        <f t="shared" si="275"/>
        <v>0.13473843552615056</v>
      </c>
      <c r="EF169">
        <f t="shared" si="275"/>
        <v>-5.7165013417087997E-2</v>
      </c>
      <c r="EG169">
        <f t="shared" si="275"/>
        <v>0.3253298917054413</v>
      </c>
      <c r="EH169" t="str">
        <f t="shared" si="275"/>
        <v/>
      </c>
      <c r="EI169">
        <f t="shared" si="275"/>
        <v>4.9476978026200095E-2</v>
      </c>
      <c r="EJ169">
        <f t="shared" si="275"/>
        <v>0.12121457046929072</v>
      </c>
      <c r="EK169" t="str">
        <f t="shared" si="275"/>
        <v/>
      </c>
      <c r="EL169">
        <f t="shared" si="275"/>
        <v>1.3312597811009012E-2</v>
      </c>
    </row>
    <row r="170" spans="3:167" x14ac:dyDescent="0.2">
      <c r="E170" s="10" cm="1">
        <f t="array" ref="E170">gavg(AF170,EL170)</f>
        <v>0.1416132966840275</v>
      </c>
      <c r="F170" cm="1">
        <f t="array" ref="F170">lnstdev(AF170,EL170)</f>
        <v>0.96763950582149283</v>
      </c>
      <c r="AE170" s="5" t="s">
        <v>607</v>
      </c>
      <c r="AF170" t="str">
        <f t="shared" ref="AF170:BK170" si="276">IF(AF96="","",LN(AF96/(a_1IL*AF88^c_2IL)))</f>
        <v/>
      </c>
      <c r="AG170" t="str">
        <f t="shared" si="276"/>
        <v/>
      </c>
      <c r="AH170" t="str">
        <f t="shared" si="276"/>
        <v/>
      </c>
      <c r="AI170" t="str">
        <f t="shared" si="276"/>
        <v/>
      </c>
      <c r="AJ170" t="str">
        <f t="shared" si="276"/>
        <v/>
      </c>
      <c r="AK170" t="str">
        <f t="shared" si="276"/>
        <v/>
      </c>
      <c r="AL170">
        <f t="shared" si="276"/>
        <v>0.14368368111316959</v>
      </c>
      <c r="AM170">
        <f t="shared" si="276"/>
        <v>7.9422748039577593E-2</v>
      </c>
      <c r="AN170">
        <f t="shared" si="276"/>
        <v>-0.12302148453567353</v>
      </c>
      <c r="AO170">
        <f t="shared" si="276"/>
        <v>-5.942153743500065E-2</v>
      </c>
      <c r="AP170">
        <f t="shared" si="276"/>
        <v>-0.34389645006997327</v>
      </c>
      <c r="AQ170">
        <f t="shared" si="276"/>
        <v>-0.25512024985955328</v>
      </c>
      <c r="AR170">
        <f t="shared" si="276"/>
        <v>-0.61162135421254948</v>
      </c>
      <c r="AS170">
        <f t="shared" si="276"/>
        <v>-0.49733564989745926</v>
      </c>
      <c r="AT170">
        <f t="shared" si="276"/>
        <v>-0.46643410934011054</v>
      </c>
      <c r="AU170" t="str">
        <f t="shared" si="276"/>
        <v/>
      </c>
      <c r="AV170">
        <f t="shared" si="276"/>
        <v>-0.40729392858396135</v>
      </c>
      <c r="AW170" t="str">
        <f t="shared" si="276"/>
        <v/>
      </c>
      <c r="AX170" t="str">
        <f t="shared" si="276"/>
        <v/>
      </c>
      <c r="AY170" t="str">
        <f t="shared" si="276"/>
        <v/>
      </c>
      <c r="AZ170" t="str">
        <f t="shared" si="276"/>
        <v/>
      </c>
      <c r="BA170" t="str">
        <f t="shared" si="276"/>
        <v/>
      </c>
      <c r="BB170">
        <f t="shared" si="276"/>
        <v>-0.45257911080561436</v>
      </c>
      <c r="BC170" t="str">
        <f t="shared" si="276"/>
        <v/>
      </c>
      <c r="BD170" t="str">
        <f t="shared" si="276"/>
        <v/>
      </c>
      <c r="BE170" t="str">
        <f t="shared" si="276"/>
        <v/>
      </c>
      <c r="BF170" t="str">
        <f t="shared" si="276"/>
        <v/>
      </c>
      <c r="BG170" t="str">
        <f t="shared" si="276"/>
        <v/>
      </c>
      <c r="BH170" t="str">
        <f t="shared" si="276"/>
        <v/>
      </c>
      <c r="BI170">
        <f t="shared" si="276"/>
        <v>-0.29750365032585357</v>
      </c>
      <c r="BJ170">
        <f t="shared" si="276"/>
        <v>-0.45128720780179116</v>
      </c>
      <c r="BK170">
        <f t="shared" si="276"/>
        <v>-0.23640731541236637</v>
      </c>
      <c r="BL170" t="str">
        <f t="shared" ref="BL170:CQ170" si="277">IF(BL96="","",LN(BL96/(a_1IL*BL88^c_2IL)))</f>
        <v/>
      </c>
      <c r="BM170">
        <f t="shared" si="277"/>
        <v>0.2118242397361336</v>
      </c>
      <c r="BN170">
        <f t="shared" si="277"/>
        <v>0.41385793293631695</v>
      </c>
      <c r="BO170" t="str">
        <f t="shared" si="277"/>
        <v/>
      </c>
      <c r="BP170">
        <f t="shared" si="277"/>
        <v>7.5485550880317387E-2</v>
      </c>
      <c r="BQ170">
        <f t="shared" si="277"/>
        <v>0.53127077573156434</v>
      </c>
      <c r="BR170">
        <f t="shared" si="277"/>
        <v>0.16182147987673567</v>
      </c>
      <c r="BS170">
        <f t="shared" si="277"/>
        <v>0.25794121234695999</v>
      </c>
      <c r="BT170">
        <f t="shared" si="277"/>
        <v>0.53716762112792127</v>
      </c>
      <c r="BU170">
        <f t="shared" si="277"/>
        <v>0.35979764678606924</v>
      </c>
      <c r="BV170">
        <f t="shared" si="277"/>
        <v>0.3090661351231378</v>
      </c>
      <c r="BW170">
        <f t="shared" si="277"/>
        <v>0.22067036684006949</v>
      </c>
      <c r="BX170">
        <f t="shared" si="277"/>
        <v>0.19413167947719012</v>
      </c>
      <c r="BY170">
        <f t="shared" si="277"/>
        <v>0.24641699617642118</v>
      </c>
      <c r="BZ170">
        <f t="shared" si="277"/>
        <v>3.2428560693931213E-2</v>
      </c>
      <c r="CA170">
        <f t="shared" si="277"/>
        <v>0.41164936273515168</v>
      </c>
      <c r="CB170">
        <f t="shared" si="277"/>
        <v>0.24261569557823162</v>
      </c>
      <c r="CC170">
        <f t="shared" si="277"/>
        <v>0.30480053888874065</v>
      </c>
      <c r="CD170">
        <f t="shared" si="277"/>
        <v>0.19265476974391141</v>
      </c>
      <c r="CE170">
        <f t="shared" si="277"/>
        <v>0.15101254735080075</v>
      </c>
      <c r="CF170">
        <f t="shared" si="277"/>
        <v>8.2665021932923521E-2</v>
      </c>
      <c r="CG170" t="str">
        <f t="shared" si="277"/>
        <v/>
      </c>
      <c r="CH170" t="str">
        <f t="shared" si="277"/>
        <v/>
      </c>
      <c r="CI170" t="str">
        <f t="shared" si="277"/>
        <v/>
      </c>
      <c r="CJ170" t="str">
        <f t="shared" si="277"/>
        <v/>
      </c>
      <c r="CK170" t="str">
        <f t="shared" si="277"/>
        <v/>
      </c>
      <c r="CL170" t="str">
        <f t="shared" si="277"/>
        <v/>
      </c>
      <c r="CM170" t="str">
        <f t="shared" si="277"/>
        <v/>
      </c>
      <c r="CN170" t="str">
        <f t="shared" si="277"/>
        <v/>
      </c>
      <c r="CO170" t="str">
        <f t="shared" si="277"/>
        <v/>
      </c>
      <c r="CP170">
        <f t="shared" si="277"/>
        <v>-4.7660153497995836E-2</v>
      </c>
      <c r="CQ170">
        <f t="shared" si="277"/>
        <v>-8.6567376095320989E-2</v>
      </c>
      <c r="CR170">
        <f t="shared" ref="CR170:DW170" si="278">IF(CR96="","",LN(CR96/(a_1IL*CR88^c_2IL)))</f>
        <v>-0.33811664082785314</v>
      </c>
      <c r="CS170">
        <f t="shared" si="278"/>
        <v>0.14483568653827528</v>
      </c>
      <c r="CT170">
        <f t="shared" si="278"/>
        <v>-8.4559792923073723E-2</v>
      </c>
      <c r="CU170">
        <f t="shared" si="278"/>
        <v>-0.17305751000118158</v>
      </c>
      <c r="CV170">
        <f t="shared" si="278"/>
        <v>-0.2555019528023702</v>
      </c>
      <c r="CW170">
        <f t="shared" si="278"/>
        <v>0.10708796175435795</v>
      </c>
      <c r="CX170">
        <f t="shared" si="278"/>
        <v>0.29997748249512957</v>
      </c>
      <c r="CY170">
        <f t="shared" si="278"/>
        <v>-4.973348041089741E-2</v>
      </c>
      <c r="CZ170">
        <f t="shared" si="278"/>
        <v>0.10836756074995768</v>
      </c>
      <c r="DA170">
        <f t="shared" si="278"/>
        <v>8.5995606746006134E-2</v>
      </c>
      <c r="DB170">
        <f t="shared" si="278"/>
        <v>5.090357963936696E-2</v>
      </c>
      <c r="DC170" t="str">
        <f t="shared" si="278"/>
        <v/>
      </c>
      <c r="DD170">
        <f t="shared" si="278"/>
        <v>-0.11041878412929974</v>
      </c>
      <c r="DE170">
        <f t="shared" si="278"/>
        <v>-0.14517778016288996</v>
      </c>
      <c r="DF170" t="str">
        <f t="shared" si="278"/>
        <v/>
      </c>
      <c r="DG170" t="str">
        <f t="shared" si="278"/>
        <v/>
      </c>
      <c r="DH170">
        <f t="shared" si="278"/>
        <v>0.17277978980332315</v>
      </c>
      <c r="DI170">
        <f t="shared" si="278"/>
        <v>5.4782747719585863E-2</v>
      </c>
      <c r="DJ170">
        <f t="shared" si="278"/>
        <v>0.23712620191673203</v>
      </c>
      <c r="DK170">
        <f t="shared" si="278"/>
        <v>5.7309814029963609E-2</v>
      </c>
      <c r="DL170">
        <f t="shared" si="278"/>
        <v>-3.40530295674209E-2</v>
      </c>
      <c r="DM170">
        <f t="shared" si="278"/>
        <v>4.3458971983449328E-2</v>
      </c>
      <c r="DN170">
        <f t="shared" si="278"/>
        <v>-3.2683650583805415E-2</v>
      </c>
      <c r="DO170">
        <f t="shared" si="278"/>
        <v>-0.12859409758512386</v>
      </c>
      <c r="DP170">
        <f t="shared" si="278"/>
        <v>-5.3923403602331804E-2</v>
      </c>
      <c r="DQ170">
        <f t="shared" si="278"/>
        <v>-0.23134927653569159</v>
      </c>
      <c r="DR170">
        <f t="shared" si="278"/>
        <v>0.22337897908749482</v>
      </c>
      <c r="DS170">
        <f t="shared" si="278"/>
        <v>0.17241489926636097</v>
      </c>
      <c r="DT170" t="str">
        <f t="shared" si="278"/>
        <v/>
      </c>
      <c r="DU170" t="str">
        <f t="shared" si="278"/>
        <v/>
      </c>
      <c r="DV170">
        <f t="shared" si="278"/>
        <v>-0.2251530345806381</v>
      </c>
      <c r="DW170" t="str">
        <f t="shared" si="278"/>
        <v/>
      </c>
      <c r="DX170" t="str">
        <f t="shared" ref="DX170:EL170" si="279">IF(DX96="","",LN(DX96/(a_1IL*DX88^c_2IL)))</f>
        <v/>
      </c>
      <c r="DY170">
        <f t="shared" si="279"/>
        <v>-0.55384883328861545</v>
      </c>
      <c r="DZ170">
        <f t="shared" si="279"/>
        <v>-0.21967022064888903</v>
      </c>
      <c r="EA170">
        <f t="shared" si="279"/>
        <v>-6.3969156226069454E-2</v>
      </c>
      <c r="EB170">
        <f t="shared" si="279"/>
        <v>0.19861426184140857</v>
      </c>
      <c r="EC170">
        <f t="shared" si="279"/>
        <v>3.0119687166193089E-3</v>
      </c>
      <c r="ED170">
        <f t="shared" si="279"/>
        <v>-2.909803176135339E-2</v>
      </c>
      <c r="EE170">
        <f t="shared" si="279"/>
        <v>4.3876150160314278E-2</v>
      </c>
      <c r="EF170">
        <f t="shared" si="279"/>
        <v>-0.1079963851193661</v>
      </c>
      <c r="EG170">
        <f t="shared" si="279"/>
        <v>0.17653966396046478</v>
      </c>
      <c r="EH170" t="str">
        <f t="shared" si="279"/>
        <v/>
      </c>
      <c r="EI170">
        <f t="shared" si="279"/>
        <v>-7.2382170857559616E-2</v>
      </c>
      <c r="EJ170">
        <f t="shared" si="279"/>
        <v>-3.8349563448365737E-2</v>
      </c>
      <c r="EK170" t="str">
        <f t="shared" si="279"/>
        <v/>
      </c>
      <c r="EL170">
        <f t="shared" si="279"/>
        <v>-5.705953284705665E-2</v>
      </c>
    </row>
    <row r="171" spans="3:167" x14ac:dyDescent="0.2">
      <c r="E171" s="10" cm="1">
        <f t="array" ref="E171">gavg(AF171,EL171)</f>
        <v>7.6630472021379257</v>
      </c>
      <c r="F171" cm="1">
        <f t="array" ref="F171">lnstdev(AF171,EL171)</f>
        <v>0.22298785510739627</v>
      </c>
      <c r="AE171" s="5" t="s">
        <v>618</v>
      </c>
      <c r="AF171" t="str">
        <f t="shared" ref="AF171:BK171" si="280">IF(AF86="","",b_1CF+b_2CF*LN(AF86)+b_3CF*LN(AF88))</f>
        <v/>
      </c>
      <c r="AG171" t="str">
        <f t="shared" si="280"/>
        <v/>
      </c>
      <c r="AH171" t="str">
        <f t="shared" si="280"/>
        <v/>
      </c>
      <c r="AI171" t="str">
        <f t="shared" si="280"/>
        <v/>
      </c>
      <c r="AJ171" t="str">
        <f t="shared" si="280"/>
        <v/>
      </c>
      <c r="AK171" t="str">
        <f t="shared" si="280"/>
        <v/>
      </c>
      <c r="AL171">
        <f t="shared" si="280"/>
        <v>3.9957881779545006</v>
      </c>
      <c r="AM171">
        <f t="shared" si="280"/>
        <v>3.9590378906169028</v>
      </c>
      <c r="AN171">
        <f t="shared" si="280"/>
        <v>3.9245688015766214</v>
      </c>
      <c r="AO171">
        <f t="shared" si="280"/>
        <v>3.9015673694366706</v>
      </c>
      <c r="AP171">
        <f t="shared" si="280"/>
        <v>7.0136055126893222</v>
      </c>
      <c r="AQ171">
        <f t="shared" si="280"/>
        <v>6.519977638075261</v>
      </c>
      <c r="AR171">
        <f t="shared" si="280"/>
        <v>5.9986439599711137</v>
      </c>
      <c r="AS171">
        <f t="shared" si="280"/>
        <v>5.6522983436093313</v>
      </c>
      <c r="AT171">
        <f t="shared" si="280"/>
        <v>5.407946406031785</v>
      </c>
      <c r="AU171" t="str">
        <f t="shared" si="280"/>
        <v/>
      </c>
      <c r="AV171">
        <f t="shared" si="280"/>
        <v>5.198695782135891</v>
      </c>
      <c r="AW171" t="str">
        <f t="shared" si="280"/>
        <v/>
      </c>
      <c r="AX171" t="str">
        <f t="shared" si="280"/>
        <v/>
      </c>
      <c r="AY171" t="str">
        <f t="shared" si="280"/>
        <v/>
      </c>
      <c r="AZ171" t="str">
        <f t="shared" si="280"/>
        <v/>
      </c>
      <c r="BA171" t="str">
        <f t="shared" si="280"/>
        <v/>
      </c>
      <c r="BB171">
        <f t="shared" si="280"/>
        <v>4.9212130618017547</v>
      </c>
      <c r="BC171" t="str">
        <f t="shared" si="280"/>
        <v/>
      </c>
      <c r="BD171" t="str">
        <f t="shared" si="280"/>
        <v/>
      </c>
      <c r="BE171" t="str">
        <f t="shared" si="280"/>
        <v/>
      </c>
      <c r="BF171" t="str">
        <f t="shared" si="280"/>
        <v/>
      </c>
      <c r="BG171" t="str">
        <f t="shared" si="280"/>
        <v/>
      </c>
      <c r="BH171" t="str">
        <f t="shared" si="280"/>
        <v/>
      </c>
      <c r="BI171">
        <f t="shared" si="280"/>
        <v>6.7079816598766122</v>
      </c>
      <c r="BJ171">
        <f t="shared" si="280"/>
        <v>6.1959156016520112</v>
      </c>
      <c r="BK171">
        <f t="shared" si="280"/>
        <v>6.4773238696903519</v>
      </c>
      <c r="BL171" t="str">
        <f t="shared" ref="BL171:CQ171" si="281">IF(BL86="","",b_1CF+b_2CF*LN(BL86)+b_3CF*LN(BL88))</f>
        <v/>
      </c>
      <c r="BM171">
        <f t="shared" si="281"/>
        <v>8.1498181948075299</v>
      </c>
      <c r="BN171">
        <f t="shared" si="281"/>
        <v>8.3460597799023244</v>
      </c>
      <c r="BO171" t="str">
        <f t="shared" si="281"/>
        <v/>
      </c>
      <c r="BP171">
        <f t="shared" si="281"/>
        <v>9.3670382912681216</v>
      </c>
      <c r="BQ171">
        <f t="shared" si="281"/>
        <v>9.1772515231087191</v>
      </c>
      <c r="BR171">
        <f t="shared" si="281"/>
        <v>8.9510199917060866</v>
      </c>
      <c r="BS171">
        <f t="shared" si="281"/>
        <v>8.9126167561277398</v>
      </c>
      <c r="BT171">
        <f t="shared" si="281"/>
        <v>8.8951185003129982</v>
      </c>
      <c r="BU171">
        <f t="shared" si="281"/>
        <v>8.8762882485649914</v>
      </c>
      <c r="BV171">
        <f t="shared" si="281"/>
        <v>8.8221916441335111</v>
      </c>
      <c r="BW171">
        <f t="shared" si="281"/>
        <v>8.8574432191704418</v>
      </c>
      <c r="BX171">
        <f t="shared" si="281"/>
        <v>8.8832029028329327</v>
      </c>
      <c r="BY171">
        <f t="shared" si="281"/>
        <v>8.9819113152575625</v>
      </c>
      <c r="BZ171">
        <f t="shared" si="281"/>
        <v>9.2690645044836319</v>
      </c>
      <c r="CA171">
        <f t="shared" si="281"/>
        <v>8.8687794609530108</v>
      </c>
      <c r="CB171">
        <f t="shared" si="281"/>
        <v>8.7872673076986025</v>
      </c>
      <c r="CC171">
        <f t="shared" si="281"/>
        <v>8.9129520531508994</v>
      </c>
      <c r="CD171">
        <f t="shared" si="281"/>
        <v>8.9897895303426978</v>
      </c>
      <c r="CE171">
        <f t="shared" si="281"/>
        <v>8.9777687975505049</v>
      </c>
      <c r="CF171">
        <f t="shared" si="281"/>
        <v>8.972599100642535</v>
      </c>
      <c r="CG171" t="str">
        <f t="shared" si="281"/>
        <v/>
      </c>
      <c r="CH171" t="str">
        <f t="shared" si="281"/>
        <v/>
      </c>
      <c r="CI171" t="str">
        <f t="shared" si="281"/>
        <v/>
      </c>
      <c r="CJ171" t="str">
        <f t="shared" si="281"/>
        <v/>
      </c>
      <c r="CK171" t="str">
        <f t="shared" si="281"/>
        <v/>
      </c>
      <c r="CL171" t="str">
        <f t="shared" si="281"/>
        <v/>
      </c>
      <c r="CM171" t="str">
        <f t="shared" si="281"/>
        <v/>
      </c>
      <c r="CN171" t="str">
        <f t="shared" si="281"/>
        <v/>
      </c>
      <c r="CO171" t="str">
        <f t="shared" si="281"/>
        <v/>
      </c>
      <c r="CP171">
        <f t="shared" si="281"/>
        <v>7.7427848020243388</v>
      </c>
      <c r="CQ171">
        <f t="shared" si="281"/>
        <v>7.5333668518092143</v>
      </c>
      <c r="CR171">
        <f t="shared" ref="CR171:DW171" si="282">IF(CR86="","",b_1CF+b_2CF*LN(CR86)+b_3CF*LN(CR88))</f>
        <v>7.3728971787856468</v>
      </c>
      <c r="CS171">
        <f t="shared" si="282"/>
        <v>7.395052202456835</v>
      </c>
      <c r="CT171">
        <f t="shared" si="282"/>
        <v>7.3702296628522479</v>
      </c>
      <c r="CU171">
        <f t="shared" si="282"/>
        <v>7.3042365472135167</v>
      </c>
      <c r="CV171">
        <f t="shared" si="282"/>
        <v>7.3237709864208353</v>
      </c>
      <c r="CW171">
        <f t="shared" si="282"/>
        <v>7.4507833312616967</v>
      </c>
      <c r="CX171">
        <f t="shared" si="282"/>
        <v>7.5090428748250257</v>
      </c>
      <c r="CY171">
        <f t="shared" si="282"/>
        <v>7.4454499791387772</v>
      </c>
      <c r="CZ171">
        <f t="shared" si="282"/>
        <v>7.5326428326518258</v>
      </c>
      <c r="DA171">
        <f t="shared" si="282"/>
        <v>7.5438158527286197</v>
      </c>
      <c r="DB171">
        <f t="shared" si="282"/>
        <v>7.6401718872699771</v>
      </c>
      <c r="DC171" t="str">
        <f t="shared" si="282"/>
        <v/>
      </c>
      <c r="DD171">
        <f t="shared" si="282"/>
        <v>7.6157346003630018</v>
      </c>
      <c r="DE171">
        <f t="shared" si="282"/>
        <v>7.8362194471366742</v>
      </c>
      <c r="DF171" t="str">
        <f t="shared" si="282"/>
        <v/>
      </c>
      <c r="DG171" t="str">
        <f t="shared" si="282"/>
        <v/>
      </c>
      <c r="DH171">
        <f t="shared" si="282"/>
        <v>7.3160113677552161</v>
      </c>
      <c r="DI171">
        <f t="shared" si="282"/>
        <v>7.4174758865024364</v>
      </c>
      <c r="DJ171">
        <f t="shared" si="282"/>
        <v>7.511498285028738</v>
      </c>
      <c r="DK171">
        <f t="shared" si="282"/>
        <v>7.5998290537595787</v>
      </c>
      <c r="DL171">
        <f t="shared" si="282"/>
        <v>7.7058731967004643</v>
      </c>
      <c r="DM171">
        <f t="shared" si="282"/>
        <v>8.7180599821465172</v>
      </c>
      <c r="DN171">
        <f t="shared" si="282"/>
        <v>8.1605853168638838</v>
      </c>
      <c r="DO171">
        <f t="shared" si="282"/>
        <v>8.4574302663524854</v>
      </c>
      <c r="DP171">
        <f t="shared" si="282"/>
        <v>7.9323187375433646</v>
      </c>
      <c r="DQ171">
        <f t="shared" si="282"/>
        <v>8.2489753963095005</v>
      </c>
      <c r="DR171">
        <f t="shared" si="282"/>
        <v>6.6267917992983945</v>
      </c>
      <c r="DS171">
        <f t="shared" si="282"/>
        <v>6.8738712477996122</v>
      </c>
      <c r="DT171" t="str">
        <f t="shared" si="282"/>
        <v/>
      </c>
      <c r="DU171" t="str">
        <f t="shared" si="282"/>
        <v/>
      </c>
      <c r="DV171">
        <f t="shared" si="282"/>
        <v>9.7517255686889222</v>
      </c>
      <c r="DW171" t="str">
        <f t="shared" si="282"/>
        <v/>
      </c>
      <c r="DX171" t="str">
        <f t="shared" ref="DX171:EL171" si="283">IF(DX86="","",b_1CF+b_2CF*LN(DX86)+b_3CF*LN(DX88))</f>
        <v/>
      </c>
      <c r="DY171">
        <f t="shared" si="283"/>
        <v>10.616004757456631</v>
      </c>
      <c r="DZ171">
        <f t="shared" si="283"/>
        <v>9.7213729194990322</v>
      </c>
      <c r="EA171">
        <f t="shared" si="283"/>
        <v>9.5091252158306148</v>
      </c>
      <c r="EB171">
        <f t="shared" si="283"/>
        <v>9.4423239722535062</v>
      </c>
      <c r="EC171">
        <f t="shared" si="283"/>
        <v>9.3134565857804681</v>
      </c>
      <c r="ED171">
        <f t="shared" si="283"/>
        <v>9.2842423261516451</v>
      </c>
      <c r="EE171">
        <f t="shared" si="283"/>
        <v>9.3190100009227201</v>
      </c>
      <c r="EF171">
        <f t="shared" si="283"/>
        <v>9.2064316197743032</v>
      </c>
      <c r="EG171">
        <f t="shared" si="283"/>
        <v>8.8365621824563476</v>
      </c>
      <c r="EH171" t="str">
        <f t="shared" si="283"/>
        <v/>
      </c>
      <c r="EI171">
        <f t="shared" si="283"/>
        <v>8.9333499399144909</v>
      </c>
      <c r="EJ171">
        <f t="shared" si="283"/>
        <v>9.0940290667126327</v>
      </c>
      <c r="EK171" t="str">
        <f t="shared" si="283"/>
        <v/>
      </c>
      <c r="EL171">
        <f t="shared" si="283"/>
        <v>8.7209917951553475</v>
      </c>
    </row>
    <row r="172" spans="3:167" x14ac:dyDescent="0.2">
      <c r="E172" s="10" cm="1">
        <f t="array" ref="E172">gavg(AF172,EL172)</f>
        <v>6.5948149717435447</v>
      </c>
      <c r="F172" cm="1">
        <f t="array" ref="F172">lnstdev(AF172,EL172)</f>
        <v>0.27036992285332928</v>
      </c>
      <c r="AE172" s="5" t="s">
        <v>619</v>
      </c>
      <c r="AF172" t="str">
        <f t="shared" ref="AF172:BK172" si="284">IF(AF86="","",b_1IL+b_2IL*LN(AF86)+b_3IL*LN(AF88))</f>
        <v/>
      </c>
      <c r="AG172" t="str">
        <f t="shared" si="284"/>
        <v/>
      </c>
      <c r="AH172" t="str">
        <f t="shared" si="284"/>
        <v/>
      </c>
      <c r="AI172" t="str">
        <f t="shared" si="284"/>
        <v/>
      </c>
      <c r="AJ172" t="str">
        <f t="shared" si="284"/>
        <v/>
      </c>
      <c r="AK172" t="str">
        <f t="shared" si="284"/>
        <v/>
      </c>
      <c r="AL172">
        <f t="shared" si="284"/>
        <v>2.9202786338303373</v>
      </c>
      <c r="AM172">
        <f t="shared" si="284"/>
        <v>2.8920371386151755</v>
      </c>
      <c r="AN172">
        <f t="shared" si="284"/>
        <v>2.864561708164683</v>
      </c>
      <c r="AO172">
        <f t="shared" si="284"/>
        <v>2.8483789007577842</v>
      </c>
      <c r="AP172">
        <f t="shared" si="284"/>
        <v>5.8108323838993083</v>
      </c>
      <c r="AQ172">
        <f t="shared" si="284"/>
        <v>5.3629581908890724</v>
      </c>
      <c r="AR172">
        <f t="shared" si="284"/>
        <v>4.8901517871338172</v>
      </c>
      <c r="AS172">
        <f t="shared" si="284"/>
        <v>4.5758042723566916</v>
      </c>
      <c r="AT172">
        <f t="shared" si="284"/>
        <v>4.3548739403878294</v>
      </c>
      <c r="AU172" t="str">
        <f t="shared" si="284"/>
        <v/>
      </c>
      <c r="AV172">
        <f t="shared" si="284"/>
        <v>4.1736620213175843</v>
      </c>
      <c r="AW172" t="str">
        <f t="shared" si="284"/>
        <v/>
      </c>
      <c r="AX172" t="str">
        <f t="shared" si="284"/>
        <v/>
      </c>
      <c r="AY172" t="str">
        <f t="shared" si="284"/>
        <v/>
      </c>
      <c r="AZ172" t="str">
        <f t="shared" si="284"/>
        <v/>
      </c>
      <c r="BA172" t="str">
        <f t="shared" si="284"/>
        <v/>
      </c>
      <c r="BB172">
        <f t="shared" si="284"/>
        <v>3.9369835051294868</v>
      </c>
      <c r="BC172" t="str">
        <f t="shared" si="284"/>
        <v/>
      </c>
      <c r="BD172" t="str">
        <f t="shared" si="284"/>
        <v/>
      </c>
      <c r="BE172" t="str">
        <f t="shared" si="284"/>
        <v/>
      </c>
      <c r="BF172" t="str">
        <f t="shared" si="284"/>
        <v/>
      </c>
      <c r="BG172" t="str">
        <f t="shared" si="284"/>
        <v/>
      </c>
      <c r="BH172" t="str">
        <f t="shared" si="284"/>
        <v/>
      </c>
      <c r="BI172">
        <f t="shared" si="284"/>
        <v>5.5325864655477961</v>
      </c>
      <c r="BJ172">
        <f t="shared" si="284"/>
        <v>5.0675392428550543</v>
      </c>
      <c r="BK172">
        <f t="shared" si="284"/>
        <v>5.322706096945792</v>
      </c>
      <c r="BL172" t="str">
        <f t="shared" ref="BL172:CQ172" si="285">IF(BL86="","",b_1IL+b_2IL*LN(BL86)+b_3IL*LN(BL88))</f>
        <v/>
      </c>
      <c r="BM172">
        <f t="shared" si="285"/>
        <v>7.184410462949387</v>
      </c>
      <c r="BN172">
        <f t="shared" si="285"/>
        <v>7.4176168620395533</v>
      </c>
      <c r="BO172" t="str">
        <f t="shared" si="285"/>
        <v/>
      </c>
      <c r="BP172">
        <f t="shared" si="285"/>
        <v>8.3519873458596177</v>
      </c>
      <c r="BQ172">
        <f t="shared" si="285"/>
        <v>8.1829317305552092</v>
      </c>
      <c r="BR172">
        <f t="shared" si="285"/>
        <v>7.977207480675192</v>
      </c>
      <c r="BS172">
        <f t="shared" si="285"/>
        <v>7.9491751727539821</v>
      </c>
      <c r="BT172">
        <f t="shared" si="285"/>
        <v>7.9400066511985594</v>
      </c>
      <c r="BU172">
        <f t="shared" si="285"/>
        <v>7.9287986778663111</v>
      </c>
      <c r="BV172">
        <f t="shared" si="285"/>
        <v>7.8832877926606741</v>
      </c>
      <c r="BW172">
        <f t="shared" si="285"/>
        <v>7.9275743796597675</v>
      </c>
      <c r="BX172">
        <f t="shared" si="285"/>
        <v>7.956875940950126</v>
      </c>
      <c r="BY172">
        <f t="shared" si="285"/>
        <v>8.0554522851378039</v>
      </c>
      <c r="BZ172">
        <f t="shared" si="285"/>
        <v>8.2586772533806183</v>
      </c>
      <c r="CA172">
        <f t="shared" si="285"/>
        <v>7.9216526545015276</v>
      </c>
      <c r="CB172">
        <f t="shared" si="285"/>
        <v>7.8422750245485577</v>
      </c>
      <c r="CC172">
        <f t="shared" si="285"/>
        <v>7.9886189218662569</v>
      </c>
      <c r="CD172">
        <f t="shared" si="285"/>
        <v>8.0670873551788755</v>
      </c>
      <c r="CE172">
        <f t="shared" si="285"/>
        <v>8.0594806804975327</v>
      </c>
      <c r="CF172">
        <f t="shared" si="285"/>
        <v>8.0581933287530028</v>
      </c>
      <c r="CG172" t="str">
        <f t="shared" si="285"/>
        <v/>
      </c>
      <c r="CH172" t="str">
        <f t="shared" si="285"/>
        <v/>
      </c>
      <c r="CI172" t="str">
        <f t="shared" si="285"/>
        <v/>
      </c>
      <c r="CJ172" t="str">
        <f t="shared" si="285"/>
        <v/>
      </c>
      <c r="CK172" t="str">
        <f t="shared" si="285"/>
        <v/>
      </c>
      <c r="CL172" t="str">
        <f t="shared" si="285"/>
        <v/>
      </c>
      <c r="CM172" t="str">
        <f t="shared" si="285"/>
        <v/>
      </c>
      <c r="CN172" t="str">
        <f t="shared" si="285"/>
        <v/>
      </c>
      <c r="CO172" t="str">
        <f t="shared" si="285"/>
        <v/>
      </c>
      <c r="CP172">
        <f t="shared" si="285"/>
        <v>6.6725368594013066</v>
      </c>
      <c r="CQ172">
        <f t="shared" si="285"/>
        <v>6.4870454742782364</v>
      </c>
      <c r="CR172">
        <f t="shared" ref="CR172:DW172" si="286">IF(CR86="","",b_1IL+b_2IL*LN(CR86)+b_3IL*LN(CR88))</f>
        <v>6.3454827433976053</v>
      </c>
      <c r="CS172">
        <f t="shared" si="286"/>
        <v>6.3763714471370125</v>
      </c>
      <c r="CT172">
        <f t="shared" si="286"/>
        <v>6.3611161555435789</v>
      </c>
      <c r="CU172">
        <f t="shared" si="286"/>
        <v>6.3054912919175177</v>
      </c>
      <c r="CV172">
        <f t="shared" si="286"/>
        <v>6.3307831651184454</v>
      </c>
      <c r="CW172">
        <f t="shared" si="286"/>
        <v>6.4581925187981657</v>
      </c>
      <c r="CX172">
        <f t="shared" si="286"/>
        <v>6.5193421748134295</v>
      </c>
      <c r="CY172">
        <f t="shared" si="286"/>
        <v>6.463626455236601</v>
      </c>
      <c r="CZ172">
        <f t="shared" si="286"/>
        <v>6.5516178524059612</v>
      </c>
      <c r="DA172">
        <f t="shared" si="286"/>
        <v>6.5666538034290856</v>
      </c>
      <c r="DB172">
        <f t="shared" si="286"/>
        <v>6.6627906106032526</v>
      </c>
      <c r="DC172" t="str">
        <f t="shared" si="286"/>
        <v/>
      </c>
      <c r="DD172">
        <f t="shared" si="286"/>
        <v>6.6394374853081679</v>
      </c>
      <c r="DE172">
        <f t="shared" si="286"/>
        <v>6.743150808687485</v>
      </c>
      <c r="DF172" t="str">
        <f t="shared" si="286"/>
        <v/>
      </c>
      <c r="DG172" t="str">
        <f t="shared" si="286"/>
        <v/>
      </c>
      <c r="DH172">
        <f t="shared" si="286"/>
        <v>6.3566487126588571</v>
      </c>
      <c r="DI172">
        <f t="shared" si="286"/>
        <v>6.4606900608533753</v>
      </c>
      <c r="DJ172">
        <f t="shared" si="286"/>
        <v>6.5568831875562097</v>
      </c>
      <c r="DK172">
        <f t="shared" si="286"/>
        <v>6.6470856638387819</v>
      </c>
      <c r="DL172">
        <f t="shared" si="286"/>
        <v>6.7537383779946687</v>
      </c>
      <c r="DM172">
        <f t="shared" si="286"/>
        <v>7.5568849428761498</v>
      </c>
      <c r="DN172">
        <f t="shared" si="286"/>
        <v>7.0522298011213387</v>
      </c>
      <c r="DO172">
        <f t="shared" si="286"/>
        <v>7.3205637206968053</v>
      </c>
      <c r="DP172">
        <f t="shared" si="286"/>
        <v>6.846464015760338</v>
      </c>
      <c r="DQ172">
        <f t="shared" si="286"/>
        <v>7.1319711991800849</v>
      </c>
      <c r="DR172">
        <f t="shared" si="286"/>
        <v>5.6883121901247513</v>
      </c>
      <c r="DS172">
        <f t="shared" si="286"/>
        <v>5.9365953392270594</v>
      </c>
      <c r="DT172" t="str">
        <f t="shared" si="286"/>
        <v/>
      </c>
      <c r="DU172" t="str">
        <f t="shared" si="286"/>
        <v/>
      </c>
      <c r="DV172">
        <f t="shared" si="286"/>
        <v>8.5945589935208275</v>
      </c>
      <c r="DW172" t="str">
        <f t="shared" si="286"/>
        <v/>
      </c>
      <c r="DX172" t="str">
        <f t="shared" ref="DX172:EL172" si="287">IF(DX86="","",b_1IL+b_2IL*LN(DX86)+b_3IL*LN(DX88))</f>
        <v/>
      </c>
      <c r="DY172">
        <f t="shared" si="287"/>
        <v>9.3719768896226832</v>
      </c>
      <c r="DZ172">
        <f t="shared" si="287"/>
        <v>8.5656587574347895</v>
      </c>
      <c r="EA172">
        <f t="shared" si="287"/>
        <v>8.3754700019238424</v>
      </c>
      <c r="EB172">
        <f t="shared" si="287"/>
        <v>8.3218886789769861</v>
      </c>
      <c r="EC172">
        <f t="shared" si="287"/>
        <v>8.2078649313150294</v>
      </c>
      <c r="ED172">
        <f t="shared" si="287"/>
        <v>8.1876630020158885</v>
      </c>
      <c r="EE172">
        <f t="shared" si="287"/>
        <v>8.227601507629295</v>
      </c>
      <c r="EF172">
        <f t="shared" si="287"/>
        <v>8.1265728227726814</v>
      </c>
      <c r="EG172">
        <f t="shared" si="287"/>
        <v>7.7743493544009894</v>
      </c>
      <c r="EH172" t="str">
        <f t="shared" si="287"/>
        <v/>
      </c>
      <c r="EI172">
        <f t="shared" si="287"/>
        <v>7.8865391390850998</v>
      </c>
      <c r="EJ172">
        <f t="shared" si="287"/>
        <v>8.0437301216248258</v>
      </c>
      <c r="EK172" t="str">
        <f t="shared" si="287"/>
        <v/>
      </c>
      <c r="EL172">
        <f t="shared" si="287"/>
        <v>7.669845904482381</v>
      </c>
    </row>
    <row r="173" spans="3:167" x14ac:dyDescent="0.2">
      <c r="E173" s="10" cm="1">
        <f t="array" ref="E173">gavg(AF173,EL173)</f>
        <v>9.5593176533359275E-2</v>
      </c>
      <c r="F173" cm="1">
        <f t="array" ref="F173">lnstdev(AF173,EL173)</f>
        <v>1.1152454397287106</v>
      </c>
      <c r="AE173" s="5" t="s">
        <v>630</v>
      </c>
      <c r="AF173" t="str">
        <f t="shared" ref="AF173:BK173" si="288">IF(AF95="","",LN(AF95/AF171))</f>
        <v/>
      </c>
      <c r="AG173" t="str">
        <f t="shared" si="288"/>
        <v/>
      </c>
      <c r="AH173" t="str">
        <f t="shared" si="288"/>
        <v/>
      </c>
      <c r="AI173" t="str">
        <f t="shared" si="288"/>
        <v/>
      </c>
      <c r="AJ173" t="str">
        <f t="shared" si="288"/>
        <v/>
      </c>
      <c r="AK173" t="str">
        <f t="shared" si="288"/>
        <v/>
      </c>
      <c r="AL173">
        <f t="shared" si="288"/>
        <v>0.41340826624463001</v>
      </c>
      <c r="AM173">
        <f t="shared" si="288"/>
        <v>0.43706906922408234</v>
      </c>
      <c r="AN173">
        <f t="shared" si="288"/>
        <v>0.29759642074074633</v>
      </c>
      <c r="AO173">
        <f t="shared" si="288"/>
        <v>9.6751754453531888E-2</v>
      </c>
      <c r="AP173">
        <f t="shared" si="288"/>
        <v>-0.32782729063634891</v>
      </c>
      <c r="AQ173">
        <f t="shared" si="288"/>
        <v>-0.59024460909692034</v>
      </c>
      <c r="AR173">
        <f t="shared" si="288"/>
        <v>-0.30009236841267078</v>
      </c>
      <c r="AS173">
        <f t="shared" si="288"/>
        <v>-0.13968127961669941</v>
      </c>
      <c r="AT173">
        <f t="shared" si="288"/>
        <v>-2.1377818904804355E-3</v>
      </c>
      <c r="AU173" t="str">
        <f t="shared" si="288"/>
        <v/>
      </c>
      <c r="AV173">
        <f t="shared" si="288"/>
        <v>-0.38922221916005284</v>
      </c>
      <c r="AW173" t="str">
        <f t="shared" si="288"/>
        <v/>
      </c>
      <c r="AX173" t="str">
        <f t="shared" si="288"/>
        <v/>
      </c>
      <c r="AY173" t="str">
        <f t="shared" si="288"/>
        <v/>
      </c>
      <c r="AZ173" t="str">
        <f t="shared" si="288"/>
        <v/>
      </c>
      <c r="BA173" t="str">
        <f t="shared" si="288"/>
        <v/>
      </c>
      <c r="BB173">
        <f t="shared" si="288"/>
        <v>-0.17281269618086326</v>
      </c>
      <c r="BC173" t="str">
        <f t="shared" si="288"/>
        <v/>
      </c>
      <c r="BD173" t="str">
        <f t="shared" si="288"/>
        <v/>
      </c>
      <c r="BE173" t="str">
        <f t="shared" si="288"/>
        <v/>
      </c>
      <c r="BF173" t="str">
        <f t="shared" si="288"/>
        <v/>
      </c>
      <c r="BG173" t="str">
        <f t="shared" si="288"/>
        <v/>
      </c>
      <c r="BH173" t="str">
        <f t="shared" si="288"/>
        <v/>
      </c>
      <c r="BI173">
        <f t="shared" si="288"/>
        <v>-0.40125508065569121</v>
      </c>
      <c r="BJ173">
        <f t="shared" si="288"/>
        <v>-0.23548160131139056</v>
      </c>
      <c r="BK173">
        <f t="shared" si="288"/>
        <v>-0.50888861598352197</v>
      </c>
      <c r="BL173" t="str">
        <f t="shared" ref="BL173:CQ173" si="289">IF(BL95="","",LN(BL95/BL171))</f>
        <v/>
      </c>
      <c r="BM173">
        <f t="shared" si="289"/>
        <v>0.21656455632058977</v>
      </c>
      <c r="BN173">
        <f t="shared" si="289"/>
        <v>6.9347343794594854E-2</v>
      </c>
      <c r="BO173" t="str">
        <f t="shared" si="289"/>
        <v/>
      </c>
      <c r="BP173">
        <f t="shared" si="289"/>
        <v>0.1247487699022756</v>
      </c>
      <c r="BQ173">
        <f t="shared" si="289"/>
        <v>0.38484790760251641</v>
      </c>
      <c r="BR173">
        <f t="shared" si="289"/>
        <v>7.7105166682251869E-2</v>
      </c>
      <c r="BS173">
        <f t="shared" si="289"/>
        <v>0.12075179545878295</v>
      </c>
      <c r="BT173">
        <f t="shared" si="289"/>
        <v>0.24704783562871332</v>
      </c>
      <c r="BU173">
        <f t="shared" si="289"/>
        <v>7.5292812026728842E-2</v>
      </c>
      <c r="BV173">
        <f t="shared" si="289"/>
        <v>5.9767472780934076E-2</v>
      </c>
      <c r="BW173">
        <f t="shared" si="289"/>
        <v>-0.10212152239689809</v>
      </c>
      <c r="BX173">
        <f t="shared" si="289"/>
        <v>-7.3558638939832069E-2</v>
      </c>
      <c r="BY173">
        <f t="shared" si="289"/>
        <v>-0.12149724882202081</v>
      </c>
      <c r="BZ173">
        <f t="shared" si="289"/>
        <v>7.6681911367461497E-2</v>
      </c>
      <c r="CA173">
        <f t="shared" si="289"/>
        <v>0.10617171721112525</v>
      </c>
      <c r="CB173">
        <f t="shared" si="289"/>
        <v>7.2919912213019925E-2</v>
      </c>
      <c r="CC173">
        <f t="shared" si="289"/>
        <v>-0.17195802657004866</v>
      </c>
      <c r="CD173">
        <f t="shared" si="289"/>
        <v>-0.17103098786620999</v>
      </c>
      <c r="CE173">
        <f t="shared" si="289"/>
        <v>-0.32910828119470803</v>
      </c>
      <c r="CF173">
        <f t="shared" si="289"/>
        <v>-0.34430189907507275</v>
      </c>
      <c r="CG173" t="str">
        <f t="shared" si="289"/>
        <v/>
      </c>
      <c r="CH173" t="str">
        <f t="shared" si="289"/>
        <v/>
      </c>
      <c r="CI173" t="str">
        <f t="shared" si="289"/>
        <v/>
      </c>
      <c r="CJ173" t="str">
        <f t="shared" si="289"/>
        <v/>
      </c>
      <c r="CK173" t="str">
        <f t="shared" si="289"/>
        <v/>
      </c>
      <c r="CL173" t="str">
        <f t="shared" si="289"/>
        <v/>
      </c>
      <c r="CM173" t="str">
        <f t="shared" si="289"/>
        <v/>
      </c>
      <c r="CN173" t="str">
        <f t="shared" si="289"/>
        <v/>
      </c>
      <c r="CO173" t="str">
        <f t="shared" si="289"/>
        <v/>
      </c>
      <c r="CP173">
        <f t="shared" si="289"/>
        <v>-6.8513408714661925E-2</v>
      </c>
      <c r="CQ173">
        <f t="shared" si="289"/>
        <v>4.0314995881593638E-2</v>
      </c>
      <c r="CR173">
        <f t="shared" ref="CR173:DW173" si="290">IF(CR95="","",LN(CR95/CR171))</f>
        <v>-2.9133270257397609E-2</v>
      </c>
      <c r="CS173">
        <f t="shared" si="290"/>
        <v>0.15003682822607847</v>
      </c>
      <c r="CT173">
        <f t="shared" si="290"/>
        <v>-0.10113839006095214</v>
      </c>
      <c r="CU173">
        <f t="shared" si="290"/>
        <v>5.840440954751247E-2</v>
      </c>
      <c r="CV173">
        <f t="shared" si="290"/>
        <v>-0.16660862219620909</v>
      </c>
      <c r="CW173">
        <f t="shared" si="290"/>
        <v>3.8187030765599463E-2</v>
      </c>
      <c r="CX173">
        <f t="shared" si="290"/>
        <v>0.14290671111226361</v>
      </c>
      <c r="CY173">
        <f t="shared" si="290"/>
        <v>-0.1172401275317676</v>
      </c>
      <c r="CZ173">
        <f t="shared" si="290"/>
        <v>-7.8214389152217012E-2</v>
      </c>
      <c r="DA173">
        <f t="shared" si="290"/>
        <v>-5.4267985497981376E-2</v>
      </c>
      <c r="DB173">
        <f t="shared" si="290"/>
        <v>0.10094645372147831</v>
      </c>
      <c r="DC173" t="str">
        <f t="shared" si="290"/>
        <v/>
      </c>
      <c r="DD173">
        <f t="shared" si="290"/>
        <v>-0.22556114155286172</v>
      </c>
      <c r="DE173">
        <f t="shared" si="290"/>
        <v>0.10018365117175772</v>
      </c>
      <c r="DF173" t="str">
        <f t="shared" si="290"/>
        <v/>
      </c>
      <c r="DG173" t="str">
        <f t="shared" si="290"/>
        <v/>
      </c>
      <c r="DH173">
        <f t="shared" si="290"/>
        <v>4.4097481771773221E-3</v>
      </c>
      <c r="DI173">
        <f t="shared" si="290"/>
        <v>7.6509965497652946E-2</v>
      </c>
      <c r="DJ173">
        <f t="shared" si="290"/>
        <v>-5.9742578345199381E-2</v>
      </c>
      <c r="DK173">
        <f t="shared" si="290"/>
        <v>-0.10549347798574987</v>
      </c>
      <c r="DL173">
        <f t="shared" si="290"/>
        <v>-0.21692182365086704</v>
      </c>
      <c r="DM173">
        <f t="shared" si="290"/>
        <v>9.7232955149105849E-2</v>
      </c>
      <c r="DN173">
        <f t="shared" si="290"/>
        <v>5.8054733124038018E-3</v>
      </c>
      <c r="DO173">
        <f t="shared" si="290"/>
        <v>0.24404052575854027</v>
      </c>
      <c r="DP173">
        <f t="shared" si="290"/>
        <v>0.22568887620858369</v>
      </c>
      <c r="DQ173">
        <f t="shared" si="290"/>
        <v>-7.278430411331506E-2</v>
      </c>
      <c r="DR173">
        <f t="shared" si="290"/>
        <v>-7.901068846905708E-2</v>
      </c>
      <c r="DS173">
        <f t="shared" si="290"/>
        <v>-0.11356759397584427</v>
      </c>
      <c r="DT173" t="str">
        <f t="shared" si="290"/>
        <v/>
      </c>
      <c r="DU173" t="str">
        <f t="shared" si="290"/>
        <v/>
      </c>
      <c r="DV173">
        <f t="shared" si="290"/>
        <v>0.17592016007000935</v>
      </c>
      <c r="DW173" t="str">
        <f t="shared" si="290"/>
        <v/>
      </c>
      <c r="DX173" t="str">
        <f t="shared" ref="DX173:EL173" si="291">IF(DX95="","",LN(DX95/DX171))</f>
        <v/>
      </c>
      <c r="DY173">
        <f t="shared" si="291"/>
        <v>0.10928420890385174</v>
      </c>
      <c r="DZ173">
        <f t="shared" si="291"/>
        <v>3.9466828109093521E-2</v>
      </c>
      <c r="EA173">
        <f t="shared" si="291"/>
        <v>0.12295799029493996</v>
      </c>
      <c r="EB173">
        <f t="shared" si="291"/>
        <v>0.2879737473742004</v>
      </c>
      <c r="EC173">
        <f t="shared" si="291"/>
        <v>6.8201324649656739E-2</v>
      </c>
      <c r="ED173">
        <f t="shared" si="291"/>
        <v>0.3031213059009667</v>
      </c>
      <c r="EE173">
        <f t="shared" si="291"/>
        <v>0.1681447064387509</v>
      </c>
      <c r="EF173">
        <f t="shared" si="291"/>
        <v>-3.6889407073418604E-2</v>
      </c>
      <c r="EG173">
        <f t="shared" si="291"/>
        <v>0.32700317277805618</v>
      </c>
      <c r="EH173" t="str">
        <f t="shared" si="291"/>
        <v/>
      </c>
      <c r="EI173">
        <f t="shared" si="291"/>
        <v>3.2713841698831937E-2</v>
      </c>
      <c r="EJ173">
        <f t="shared" si="291"/>
        <v>0.10769031905375419</v>
      </c>
      <c r="EK173" t="str">
        <f t="shared" si="291"/>
        <v/>
      </c>
      <c r="EL173">
        <f t="shared" si="291"/>
        <v>3.1069240763339306E-3</v>
      </c>
    </row>
    <row r="174" spans="3:167" ht="13.5" thickBot="1" x14ac:dyDescent="0.25">
      <c r="E174" s="10" cm="1">
        <f t="array" ref="E174">gavg(AF174,EL174)</f>
        <v>9.1341151482526153E-2</v>
      </c>
      <c r="F174" cm="1">
        <f t="array" ref="F174">lnstdev(AF174,EL174)</f>
        <v>1.2727764951543687</v>
      </c>
      <c r="AE174" s="5" t="s">
        <v>631</v>
      </c>
      <c r="AF174" t="str">
        <f t="shared" ref="AF174:BK174" si="292">IF(AF96="","",LN(AF96/AF172))</f>
        <v/>
      </c>
      <c r="AG174" t="str">
        <f t="shared" si="292"/>
        <v/>
      </c>
      <c r="AH174" t="str">
        <f t="shared" si="292"/>
        <v/>
      </c>
      <c r="AI174" t="str">
        <f t="shared" si="292"/>
        <v/>
      </c>
      <c r="AJ174" t="str">
        <f t="shared" si="292"/>
        <v/>
      </c>
      <c r="AK174" t="str">
        <f t="shared" si="292"/>
        <v/>
      </c>
      <c r="AL174">
        <f t="shared" si="292"/>
        <v>0.46578151971384291</v>
      </c>
      <c r="AM174">
        <f t="shared" si="292"/>
        <v>0.39211509554977408</v>
      </c>
      <c r="AN174">
        <f t="shared" si="292"/>
        <v>0.18286915729105593</v>
      </c>
      <c r="AO174">
        <f t="shared" si="292"/>
        <v>0.23776178179668842</v>
      </c>
      <c r="AP174">
        <f t="shared" si="292"/>
        <v>-5.9425902935452073E-2</v>
      </c>
      <c r="AQ174">
        <f t="shared" si="292"/>
        <v>-3.6975264955849817E-2</v>
      </c>
      <c r="AR174">
        <f t="shared" si="292"/>
        <v>-0.45627308269130068</v>
      </c>
      <c r="AS174">
        <f t="shared" si="292"/>
        <v>-0.37819164359740304</v>
      </c>
      <c r="AT174">
        <f t="shared" si="292"/>
        <v>-0.37158360668774071</v>
      </c>
      <c r="AU174" t="str">
        <f t="shared" si="292"/>
        <v/>
      </c>
      <c r="AV174">
        <f t="shared" si="292"/>
        <v>-0.34597230676406565</v>
      </c>
      <c r="AW174" t="str">
        <f t="shared" si="292"/>
        <v/>
      </c>
      <c r="AX174" t="str">
        <f t="shared" si="292"/>
        <v/>
      </c>
      <c r="AY174" t="str">
        <f t="shared" si="292"/>
        <v/>
      </c>
      <c r="AZ174" t="str">
        <f t="shared" si="292"/>
        <v/>
      </c>
      <c r="BA174" t="str">
        <f t="shared" si="292"/>
        <v/>
      </c>
      <c r="BB174">
        <f t="shared" si="292"/>
        <v>-0.43953302809749845</v>
      </c>
      <c r="BC174" t="str">
        <f t="shared" si="292"/>
        <v/>
      </c>
      <c r="BD174" t="str">
        <f t="shared" si="292"/>
        <v/>
      </c>
      <c r="BE174" t="str">
        <f t="shared" si="292"/>
        <v/>
      </c>
      <c r="BF174" t="str">
        <f t="shared" si="292"/>
        <v/>
      </c>
      <c r="BG174" t="str">
        <f t="shared" si="292"/>
        <v/>
      </c>
      <c r="BH174" t="str">
        <f t="shared" si="292"/>
        <v/>
      </c>
      <c r="BI174">
        <f t="shared" si="292"/>
        <v>-5.3160087719242063E-2</v>
      </c>
      <c r="BJ174">
        <f t="shared" si="292"/>
        <v>-0.27043608903558825</v>
      </c>
      <c r="BK174">
        <f t="shared" si="292"/>
        <v>-2.0892047214166425E-2</v>
      </c>
      <c r="BL174" t="str">
        <f t="shared" ref="BL174:CQ174" si="293">IF(BL96="","",LN(BL96/BL172))</f>
        <v/>
      </c>
      <c r="BM174">
        <f t="shared" si="293"/>
        <v>6.9738405600472411E-2</v>
      </c>
      <c r="BN174">
        <f t="shared" si="293"/>
        <v>0.20929386553864196</v>
      </c>
      <c r="BO174" t="str">
        <f t="shared" si="293"/>
        <v/>
      </c>
      <c r="BP174">
        <f t="shared" si="293"/>
        <v>4.2438859092821621E-2</v>
      </c>
      <c r="BQ174">
        <f t="shared" si="293"/>
        <v>0.45727985564421075</v>
      </c>
      <c r="BR174">
        <f t="shared" si="293"/>
        <v>4.6879124067209156E-2</v>
      </c>
      <c r="BS174">
        <f t="shared" si="293"/>
        <v>0.12415397491373097</v>
      </c>
      <c r="BT174">
        <f t="shared" si="293"/>
        <v>0.38854165512453936</v>
      </c>
      <c r="BU174">
        <f t="shared" si="293"/>
        <v>0.19753369577668467</v>
      </c>
      <c r="BV174">
        <f t="shared" si="293"/>
        <v>0.13075046546165628</v>
      </c>
      <c r="BW174">
        <f t="shared" si="293"/>
        <v>2.7412386463406418E-2</v>
      </c>
      <c r="BX174">
        <f t="shared" si="293"/>
        <v>-4.7143071235647956E-3</v>
      </c>
      <c r="BY174">
        <f t="shared" si="293"/>
        <v>5.0044067588711154E-2</v>
      </c>
      <c r="BZ174">
        <f t="shared" si="293"/>
        <v>-1.1355462543330608E-2</v>
      </c>
      <c r="CA174">
        <f t="shared" si="293"/>
        <v>0.24859452122733455</v>
      </c>
      <c r="CB174">
        <f t="shared" si="293"/>
        <v>7.4161201586569997E-2</v>
      </c>
      <c r="CC174">
        <f t="shared" si="293"/>
        <v>0.10315552394826333</v>
      </c>
      <c r="CD174">
        <f t="shared" si="293"/>
        <v>-1.0046220017366313E-2</v>
      </c>
      <c r="CE174">
        <f t="shared" si="293"/>
        <v>-5.9625631526768343E-2</v>
      </c>
      <c r="CF174">
        <f t="shared" si="293"/>
        <v>-0.13482653504740208</v>
      </c>
      <c r="CG174" t="str">
        <f t="shared" si="293"/>
        <v/>
      </c>
      <c r="CH174" t="str">
        <f t="shared" si="293"/>
        <v/>
      </c>
      <c r="CI174" t="str">
        <f t="shared" si="293"/>
        <v/>
      </c>
      <c r="CJ174" t="str">
        <f t="shared" si="293"/>
        <v/>
      </c>
      <c r="CK174" t="str">
        <f t="shared" si="293"/>
        <v/>
      </c>
      <c r="CL174" t="str">
        <f t="shared" si="293"/>
        <v/>
      </c>
      <c r="CM174" t="str">
        <f t="shared" si="293"/>
        <v/>
      </c>
      <c r="CN174" t="str">
        <f t="shared" si="293"/>
        <v/>
      </c>
      <c r="CO174" t="str">
        <f t="shared" si="293"/>
        <v/>
      </c>
      <c r="CP174">
        <f t="shared" si="293"/>
        <v>-7.1526155021624368E-3</v>
      </c>
      <c r="CQ174">
        <f t="shared" si="293"/>
        <v>-8.7302507918967792E-2</v>
      </c>
      <c r="CR174">
        <f t="shared" ref="CR174:DW174" si="294">IF(CR96="","",LN(CR96/CR172))</f>
        <v>-0.37091604199465661</v>
      </c>
      <c r="CS174">
        <f t="shared" si="294"/>
        <v>9.6391553614853048E-2</v>
      </c>
      <c r="CT174">
        <f t="shared" si="294"/>
        <v>-0.14967489458397726</v>
      </c>
      <c r="CU174">
        <f t="shared" si="294"/>
        <v>-0.25582378323063049</v>
      </c>
      <c r="CV174">
        <f t="shared" si="294"/>
        <v>-0.34865568512444511</v>
      </c>
      <c r="CW174">
        <f t="shared" si="294"/>
        <v>1.2121499366952004E-2</v>
      </c>
      <c r="CX174">
        <f t="shared" si="294"/>
        <v>0.19953581800556108</v>
      </c>
      <c r="CY174">
        <f t="shared" si="294"/>
        <v>-0.16366179280071783</v>
      </c>
      <c r="CZ174">
        <f t="shared" si="294"/>
        <v>-7.4947279150094732E-3</v>
      </c>
      <c r="DA174">
        <f t="shared" si="294"/>
        <v>-3.6728104948123723E-2</v>
      </c>
      <c r="DB174">
        <f t="shared" si="294"/>
        <v>-7.1775372745882637E-2</v>
      </c>
      <c r="DC174" t="str">
        <f t="shared" si="294"/>
        <v/>
      </c>
      <c r="DD174">
        <f t="shared" si="294"/>
        <v>-0.23493976248008658</v>
      </c>
      <c r="DE174">
        <f t="shared" si="294"/>
        <v>-6.4665651841642732E-2</v>
      </c>
      <c r="DF174" t="str">
        <f t="shared" si="294"/>
        <v/>
      </c>
      <c r="DG174" t="str">
        <f t="shared" si="294"/>
        <v/>
      </c>
      <c r="DH174">
        <f t="shared" si="294"/>
        <v>2.0272627766288319E-2</v>
      </c>
      <c r="DI174">
        <f t="shared" si="294"/>
        <v>-0.10312740036471754</v>
      </c>
      <c r="DJ174">
        <f t="shared" si="294"/>
        <v>7.4823666642998485E-2</v>
      </c>
      <c r="DK174">
        <f t="shared" si="294"/>
        <v>-0.10862795573385446</v>
      </c>
      <c r="DL174">
        <f t="shared" si="294"/>
        <v>-0.20123196215627182</v>
      </c>
      <c r="DM174">
        <f t="shared" si="294"/>
        <v>0.24987198996964957</v>
      </c>
      <c r="DN174">
        <f t="shared" si="294"/>
        <v>7.5509934112309413E-2</v>
      </c>
      <c r="DO174">
        <f t="shared" si="294"/>
        <v>3.1979367998751104E-2</v>
      </c>
      <c r="DP174">
        <f t="shared" si="294"/>
        <v>1.3958553796996443E-2</v>
      </c>
      <c r="DQ174">
        <f t="shared" si="294"/>
        <v>-0.10742690483579263</v>
      </c>
      <c r="DR174">
        <f t="shared" si="294"/>
        <v>4.6586253168520129E-2</v>
      </c>
      <c r="DS174">
        <f t="shared" si="294"/>
        <v>-1.2559341584438317E-2</v>
      </c>
      <c r="DT174" t="str">
        <f t="shared" si="294"/>
        <v/>
      </c>
      <c r="DU174" t="str">
        <f t="shared" si="294"/>
        <v/>
      </c>
      <c r="DV174">
        <f t="shared" si="294"/>
        <v>-1.2543350311903887E-3</v>
      </c>
      <c r="DW174" t="str">
        <f t="shared" si="294"/>
        <v/>
      </c>
      <c r="DX174" t="str">
        <f t="shared" ref="DX174:EL174" si="295">IF(DX96="","",LN(DX96/DX172))</f>
        <v/>
      </c>
      <c r="DY174">
        <f t="shared" si="295"/>
        <v>-0.14911294121749474</v>
      </c>
      <c r="DZ174">
        <f t="shared" si="295"/>
        <v>7.7742187475972476E-4</v>
      </c>
      <c r="EA174">
        <f t="shared" si="295"/>
        <v>0.11208546614121997</v>
      </c>
      <c r="EB174">
        <f t="shared" si="295"/>
        <v>0.3499427207209021</v>
      </c>
      <c r="EC174">
        <f t="shared" si="295"/>
        <v>0.12521545649898799</v>
      </c>
      <c r="ED174">
        <f t="shared" si="295"/>
        <v>7.6748402075796515E-2</v>
      </c>
      <c r="EE174">
        <f t="shared" si="295"/>
        <v>0.14166549645528492</v>
      </c>
      <c r="EF174">
        <f t="shared" si="295"/>
        <v>-3.3065621204826756E-2</v>
      </c>
      <c r="EG174">
        <f t="shared" si="295"/>
        <v>0.21276614150937417</v>
      </c>
      <c r="EH174" t="str">
        <f t="shared" si="295"/>
        <v/>
      </c>
      <c r="EI174">
        <f t="shared" si="295"/>
        <v>-6.0988209179230313E-2</v>
      </c>
      <c r="EJ174">
        <f t="shared" si="295"/>
        <v>-1.7353411832154549E-2</v>
      </c>
      <c r="EK174" t="str">
        <f t="shared" si="295"/>
        <v/>
      </c>
      <c r="EL174">
        <f t="shared" si="295"/>
        <v>-4.2178224158987879E-2</v>
      </c>
    </row>
    <row r="175" spans="3:167" x14ac:dyDescent="0.2">
      <c r="E175" s="10" cm="1">
        <f t="array" ref="E175">gavg(AF175,EL175)</f>
        <v>0.11956649636361784</v>
      </c>
      <c r="F175" cm="1">
        <f t="array" ref="F175">lnstdev(AF175,EL175)</f>
        <v>0.71130578395898725</v>
      </c>
      <c r="AE175" s="48" t="s">
        <v>695</v>
      </c>
      <c r="AF175" t="str">
        <f t="shared" ref="AF175:BK175" si="296">IF(AF95="","",LN(AF95/(d_1CF*AF86^d_2CF*AF88^d_3CF*AF125^d_4CF)))</f>
        <v/>
      </c>
      <c r="AG175" t="str">
        <f t="shared" si="296"/>
        <v/>
      </c>
      <c r="AH175" t="str">
        <f t="shared" si="296"/>
        <v/>
      </c>
      <c r="AI175" t="str">
        <f t="shared" si="296"/>
        <v/>
      </c>
      <c r="AJ175" t="str">
        <f t="shared" si="296"/>
        <v/>
      </c>
      <c r="AK175" t="str">
        <f t="shared" si="296"/>
        <v/>
      </c>
      <c r="AL175">
        <f t="shared" si="296"/>
        <v>0.22350294179139119</v>
      </c>
      <c r="AM175">
        <f t="shared" si="296"/>
        <v>0.24054946303761593</v>
      </c>
      <c r="AN175">
        <f t="shared" si="296"/>
        <v>9.5077481301528252E-2</v>
      </c>
      <c r="AO175">
        <f t="shared" si="296"/>
        <v>-0.11042964978649193</v>
      </c>
      <c r="AP175">
        <f t="shared" si="296"/>
        <v>-4.8616349918560592E-2</v>
      </c>
      <c r="AQ175">
        <f t="shared" si="296"/>
        <v>-0.32912020414225118</v>
      </c>
      <c r="AR175">
        <f t="shared" si="296"/>
        <v>-6.4388870693989728E-2</v>
      </c>
      <c r="AS175">
        <f t="shared" si="296"/>
        <v>7.5096611700589372E-2</v>
      </c>
      <c r="AT175">
        <f t="shared" si="296"/>
        <v>0.19539933830292322</v>
      </c>
      <c r="AU175" t="str">
        <f t="shared" si="296"/>
        <v/>
      </c>
      <c r="AV175">
        <f t="shared" si="296"/>
        <v>-0.21035228334961339</v>
      </c>
      <c r="AW175" t="str">
        <f t="shared" si="296"/>
        <v/>
      </c>
      <c r="AX175" t="str">
        <f t="shared" si="296"/>
        <v/>
      </c>
      <c r="AY175" t="str">
        <f t="shared" si="296"/>
        <v/>
      </c>
      <c r="AZ175" t="str">
        <f t="shared" si="296"/>
        <v/>
      </c>
      <c r="BA175" t="str">
        <f t="shared" si="296"/>
        <v/>
      </c>
      <c r="BB175">
        <f t="shared" si="296"/>
        <v>-2.2257924968938247E-2</v>
      </c>
      <c r="BC175" t="str">
        <f t="shared" si="296"/>
        <v/>
      </c>
      <c r="BD175" t="str">
        <f t="shared" si="296"/>
        <v/>
      </c>
      <c r="BE175" t="str">
        <f t="shared" si="296"/>
        <v/>
      </c>
      <c r="BF175" t="str">
        <f t="shared" si="296"/>
        <v/>
      </c>
      <c r="BG175" t="str">
        <f t="shared" si="296"/>
        <v/>
      </c>
      <c r="BH175" t="str">
        <f t="shared" si="296"/>
        <v/>
      </c>
      <c r="BI175">
        <f t="shared" si="296"/>
        <v>-0.13233865163624503</v>
      </c>
      <c r="BJ175">
        <f t="shared" si="296"/>
        <v>1.1099001109321128E-2</v>
      </c>
      <c r="BK175">
        <f t="shared" si="296"/>
        <v>-0.24913991405864599</v>
      </c>
      <c r="BL175" t="str">
        <f t="shared" ref="BL175:CQ175" si="297">IF(BL95="","",LN(BL95/(d_1CF*BL86^d_2CF*BL88^d_3CF*BL125^d_4CF)))</f>
        <v/>
      </c>
      <c r="BM175">
        <f t="shared" si="297"/>
        <v>0.27626906100445636</v>
      </c>
      <c r="BN175">
        <f t="shared" si="297"/>
        <v>0.11522656292098762</v>
      </c>
      <c r="BO175" t="str">
        <f t="shared" si="297"/>
        <v/>
      </c>
      <c r="BP175">
        <f t="shared" si="297"/>
        <v>0.1701980339925476</v>
      </c>
      <c r="BQ175">
        <f t="shared" si="297"/>
        <v>0.43003410763083322</v>
      </c>
      <c r="BR175">
        <f t="shared" si="297"/>
        <v>0.12262167957075538</v>
      </c>
      <c r="BS175">
        <f t="shared" si="297"/>
        <v>0.16428862101604375</v>
      </c>
      <c r="BT175">
        <f t="shared" si="297"/>
        <v>0.28864422891377917</v>
      </c>
      <c r="BU175">
        <f t="shared" si="297"/>
        <v>0.11518094977599272</v>
      </c>
      <c r="BV175">
        <f t="shared" si="297"/>
        <v>9.8535440259691104E-2</v>
      </c>
      <c r="BW175">
        <f t="shared" si="297"/>
        <v>-6.6809293252948973E-2</v>
      </c>
      <c r="BX175">
        <f t="shared" si="297"/>
        <v>-3.990520036963386E-2</v>
      </c>
      <c r="BY175">
        <f t="shared" si="297"/>
        <v>-9.0352722596186305E-2</v>
      </c>
      <c r="BZ175">
        <f t="shared" si="297"/>
        <v>0.12377706856379977</v>
      </c>
      <c r="CA175">
        <f t="shared" si="297"/>
        <v>0.1461440135714257</v>
      </c>
      <c r="CB175">
        <f t="shared" si="297"/>
        <v>0.1142759249844416</v>
      </c>
      <c r="CC175">
        <f t="shared" si="297"/>
        <v>-0.13963028518842432</v>
      </c>
      <c r="CD175">
        <f t="shared" si="297"/>
        <v>-0.14117091338018078</v>
      </c>
      <c r="CE175">
        <f t="shared" si="297"/>
        <v>-0.30019454825429953</v>
      </c>
      <c r="CF175">
        <f t="shared" si="297"/>
        <v>-0.31636391958426258</v>
      </c>
      <c r="CG175" t="str">
        <f t="shared" si="297"/>
        <v/>
      </c>
      <c r="CH175" t="str">
        <f t="shared" si="297"/>
        <v/>
      </c>
      <c r="CI175" t="str">
        <f t="shared" si="297"/>
        <v/>
      </c>
      <c r="CJ175" t="str">
        <f t="shared" si="297"/>
        <v/>
      </c>
      <c r="CK175" t="str">
        <f t="shared" si="297"/>
        <v/>
      </c>
      <c r="CL175" t="str">
        <f t="shared" si="297"/>
        <v/>
      </c>
      <c r="CM175" t="str">
        <f t="shared" si="297"/>
        <v/>
      </c>
      <c r="CN175" t="str">
        <f t="shared" si="297"/>
        <v/>
      </c>
      <c r="CO175" t="str">
        <f t="shared" si="297"/>
        <v/>
      </c>
      <c r="CP175">
        <f t="shared" si="297"/>
        <v>-4.7298558571420513E-2</v>
      </c>
      <c r="CQ175">
        <f t="shared" si="297"/>
        <v>5.6105708849910389E-2</v>
      </c>
      <c r="CR175">
        <f t="shared" ref="CR175:DW175" si="298">IF(CR95="","",LN(CR95/(d_1CF*CR86^d_2CF*CR88^d_3CF*CR125^d_4CF)))</f>
        <v>-1.8183788753923607E-2</v>
      </c>
      <c r="CS175">
        <f t="shared" si="298"/>
        <v>0.158433544444083</v>
      </c>
      <c r="CT175">
        <f t="shared" si="298"/>
        <v>-9.5424637425778461E-2</v>
      </c>
      <c r="CU175">
        <f t="shared" si="298"/>
        <v>6.1245062414129053E-2</v>
      </c>
      <c r="CV175">
        <f t="shared" si="298"/>
        <v>-0.16543695197335997</v>
      </c>
      <c r="CW175">
        <f t="shared" si="298"/>
        <v>3.8942639108428045E-2</v>
      </c>
      <c r="CX175">
        <f t="shared" si="298"/>
        <v>0.14259808589487538</v>
      </c>
      <c r="CY175">
        <f t="shared" si="298"/>
        <v>-0.11954961943252283</v>
      </c>
      <c r="CZ175">
        <f t="shared" si="298"/>
        <v>-8.1120701159215713E-2</v>
      </c>
      <c r="DA175">
        <f t="shared" si="298"/>
        <v>-5.8337548646641868E-2</v>
      </c>
      <c r="DB175">
        <f t="shared" si="298"/>
        <v>9.6358428695671405E-2</v>
      </c>
      <c r="DC175" t="str">
        <f t="shared" si="298"/>
        <v/>
      </c>
      <c r="DD175">
        <f t="shared" si="298"/>
        <v>-0.23029703908721502</v>
      </c>
      <c r="DE175">
        <f t="shared" si="298"/>
        <v>0.12705856531675586</v>
      </c>
      <c r="DF175" t="str">
        <f t="shared" si="298"/>
        <v/>
      </c>
      <c r="DG175" t="str">
        <f t="shared" si="298"/>
        <v/>
      </c>
      <c r="DH175">
        <f t="shared" si="298"/>
        <v>-4.0398768732228191E-3</v>
      </c>
      <c r="DI175">
        <f t="shared" si="298"/>
        <v>6.711896745927233E-2</v>
      </c>
      <c r="DJ175">
        <f t="shared" si="298"/>
        <v>-7.0110887289288576E-2</v>
      </c>
      <c r="DK175">
        <f t="shared" si="298"/>
        <v>-0.1168747534035927</v>
      </c>
      <c r="DL175">
        <f t="shared" si="298"/>
        <v>-0.2292281226028593</v>
      </c>
      <c r="DM175">
        <f t="shared" si="298"/>
        <v>0.12877843057110971</v>
      </c>
      <c r="DN175">
        <f t="shared" si="298"/>
        <v>3.293591347477564E-2</v>
      </c>
      <c r="DO175">
        <f t="shared" si="298"/>
        <v>0.27417498403485902</v>
      </c>
      <c r="DP175">
        <f t="shared" si="298"/>
        <v>0.24944879337151782</v>
      </c>
      <c r="DQ175">
        <f t="shared" si="298"/>
        <v>-4.4579701122616104E-2</v>
      </c>
      <c r="DR175">
        <f t="shared" si="298"/>
        <v>-9.7444417826391586E-2</v>
      </c>
      <c r="DS175">
        <f t="shared" si="298"/>
        <v>-0.12977503637808563</v>
      </c>
      <c r="DT175" t="str">
        <f t="shared" si="298"/>
        <v/>
      </c>
      <c r="DU175" t="str">
        <f t="shared" si="298"/>
        <v/>
      </c>
      <c r="DV175">
        <f t="shared" si="298"/>
        <v>-4.3822075393260456E-3</v>
      </c>
      <c r="DW175" t="str">
        <f t="shared" si="298"/>
        <v/>
      </c>
      <c r="DX175" t="str">
        <f t="shared" ref="DX175:EL175" si="299">IF(DX95="","",LN(DX95/(d_1CF*DX86^d_2CF*DX88^d_3CF*DX125^d_4CF)))</f>
        <v/>
      </c>
      <c r="DY175">
        <f t="shared" si="299"/>
        <v>-8.0278894214192834E-2</v>
      </c>
      <c r="DZ175">
        <f t="shared" si="299"/>
        <v>-0.14018776965939767</v>
      </c>
      <c r="EA175">
        <f t="shared" si="299"/>
        <v>-5.5851681798054255E-2</v>
      </c>
      <c r="EB175">
        <f t="shared" si="299"/>
        <v>0.10753017477383491</v>
      </c>
      <c r="EC175">
        <f t="shared" si="299"/>
        <v>-0.11248353570914581</v>
      </c>
      <c r="ED175">
        <f t="shared" si="299"/>
        <v>0.12073795374301953</v>
      </c>
      <c r="EE175">
        <f t="shared" si="299"/>
        <v>-1.6771050691233243E-2</v>
      </c>
      <c r="EF175">
        <f t="shared" si="299"/>
        <v>-0.22175915497489554</v>
      </c>
      <c r="EG175">
        <f t="shared" si="299"/>
        <v>0.14702543088914763</v>
      </c>
      <c r="EH175" t="str">
        <f t="shared" si="299"/>
        <v/>
      </c>
      <c r="EI175">
        <f t="shared" si="299"/>
        <v>-0.15411411809028486</v>
      </c>
      <c r="EJ175">
        <f t="shared" si="299"/>
        <v>-8.244588848104617E-2</v>
      </c>
      <c r="EK175" t="str">
        <f t="shared" si="299"/>
        <v/>
      </c>
      <c r="EL175">
        <f t="shared" si="299"/>
        <v>-0.17728526121630794</v>
      </c>
    </row>
    <row r="176" spans="3:167" x14ac:dyDescent="0.2">
      <c r="E176" s="10" cm="1">
        <f t="array" ref="E176">gavg(AF176,EL176)</f>
        <v>7.5985058360966778E-2</v>
      </c>
      <c r="F176" cm="1">
        <f t="array" ref="F176">lnstdev(AF176,EL176)</f>
        <v>1.2024327826387633</v>
      </c>
      <c r="AE176" s="49" t="s">
        <v>696</v>
      </c>
      <c r="AF176" t="str">
        <f t="shared" ref="AF176:BK176" si="300">IF(AF96="","",LN(AF96/(d_1IL*AF86^d_2IL*AF88^d_3IL*AF125^d_4IL)))</f>
        <v/>
      </c>
      <c r="AG176" t="str">
        <f t="shared" si="300"/>
        <v/>
      </c>
      <c r="AH176" t="str">
        <f t="shared" si="300"/>
        <v/>
      </c>
      <c r="AI176" t="str">
        <f t="shared" si="300"/>
        <v/>
      </c>
      <c r="AJ176" t="str">
        <f t="shared" si="300"/>
        <v/>
      </c>
      <c r="AK176" t="str">
        <f t="shared" si="300"/>
        <v/>
      </c>
      <c r="AL176">
        <f t="shared" si="300"/>
        <v>0.3666442778603704</v>
      </c>
      <c r="AM176">
        <f t="shared" si="300"/>
        <v>0.28628707072999349</v>
      </c>
      <c r="AN176">
        <f t="shared" si="300"/>
        <v>7.0791434192806077E-2</v>
      </c>
      <c r="AO176">
        <f t="shared" si="300"/>
        <v>0.12122215798271353</v>
      </c>
      <c r="AP176">
        <f t="shared" si="300"/>
        <v>0.1340707707704098</v>
      </c>
      <c r="AQ176">
        <f t="shared" si="300"/>
        <v>0.14869986159541149</v>
      </c>
      <c r="AR176">
        <f t="shared" si="300"/>
        <v>-0.28653611415544733</v>
      </c>
      <c r="AS176">
        <f t="shared" si="300"/>
        <v>-0.22405850681430642</v>
      </c>
      <c r="AT176">
        <f t="shared" si="300"/>
        <v>-0.23146286086710918</v>
      </c>
      <c r="AU176" t="str">
        <f t="shared" si="300"/>
        <v/>
      </c>
      <c r="AV176">
        <f t="shared" si="300"/>
        <v>-0.22166974313890428</v>
      </c>
      <c r="AW176" t="str">
        <f t="shared" si="300"/>
        <v/>
      </c>
      <c r="AX176" t="str">
        <f t="shared" si="300"/>
        <v/>
      </c>
      <c r="AY176" t="str">
        <f t="shared" si="300"/>
        <v/>
      </c>
      <c r="AZ176" t="str">
        <f t="shared" si="300"/>
        <v/>
      </c>
      <c r="BA176" t="str">
        <f t="shared" si="300"/>
        <v/>
      </c>
      <c r="BB176">
        <f t="shared" si="300"/>
        <v>-0.33990187874136696</v>
      </c>
      <c r="BC176" t="str">
        <f t="shared" si="300"/>
        <v/>
      </c>
      <c r="BD176" t="str">
        <f t="shared" si="300"/>
        <v/>
      </c>
      <c r="BE176" t="str">
        <f t="shared" si="300"/>
        <v/>
      </c>
      <c r="BF176" t="str">
        <f t="shared" si="300"/>
        <v/>
      </c>
      <c r="BG176" t="str">
        <f t="shared" si="300"/>
        <v/>
      </c>
      <c r="BH176" t="str">
        <f t="shared" si="300"/>
        <v/>
      </c>
      <c r="BI176">
        <f t="shared" si="300"/>
        <v>0.13652519346708836</v>
      </c>
      <c r="BJ176">
        <f t="shared" si="300"/>
        <v>-9.3255048381243516E-2</v>
      </c>
      <c r="BK176">
        <f t="shared" si="300"/>
        <v>0.16422240524605308</v>
      </c>
      <c r="BL176" t="str">
        <f t="shared" ref="BL176:CQ176" si="301">IF(BL96="","",LN(BL96/(d_1IL*BL86^d_2IL*BL88^d_3IL*BL125^d_4IL)))</f>
        <v/>
      </c>
      <c r="BM176">
        <f t="shared" si="301"/>
        <v>9.0389175302777569E-2</v>
      </c>
      <c r="BN176">
        <f t="shared" si="301"/>
        <v>0.20757979556463316</v>
      </c>
      <c r="BO176" t="str">
        <f t="shared" si="301"/>
        <v/>
      </c>
      <c r="BP176">
        <f t="shared" si="301"/>
        <v>5.9332374861321485E-3</v>
      </c>
      <c r="BQ176">
        <f t="shared" si="301"/>
        <v>0.42670230410936028</v>
      </c>
      <c r="BR176">
        <f t="shared" si="301"/>
        <v>2.4228306930737506E-2</v>
      </c>
      <c r="BS176">
        <f t="shared" si="301"/>
        <v>0.10046132004710831</v>
      </c>
      <c r="BT176">
        <f t="shared" si="301"/>
        <v>0.36315572660310802</v>
      </c>
      <c r="BU176">
        <f t="shared" si="301"/>
        <v>0.17077594669039708</v>
      </c>
      <c r="BV176">
        <f t="shared" si="301"/>
        <v>0.10451570953240308</v>
      </c>
      <c r="BW176">
        <f t="shared" si="301"/>
        <v>-4.084706617278562E-3</v>
      </c>
      <c r="BX176">
        <f t="shared" si="301"/>
        <v>-3.9044392843016015E-2</v>
      </c>
      <c r="BY176">
        <f t="shared" si="301"/>
        <v>9.377716233943378E-3</v>
      </c>
      <c r="BZ176">
        <f t="shared" si="301"/>
        <v>-4.2684213801205018E-2</v>
      </c>
      <c r="CA176">
        <f t="shared" si="301"/>
        <v>0.2221904463444816</v>
      </c>
      <c r="CB176">
        <f t="shared" si="301"/>
        <v>5.2148709924051899E-2</v>
      </c>
      <c r="CC176">
        <f t="shared" si="301"/>
        <v>6.6244963972724197E-2</v>
      </c>
      <c r="CD176">
        <f t="shared" si="301"/>
        <v>-5.250167400304738E-2</v>
      </c>
      <c r="CE176">
        <f t="shared" si="301"/>
        <v>-0.1027892898281907</v>
      </c>
      <c r="CF176">
        <f t="shared" si="301"/>
        <v>-0.17896723883800753</v>
      </c>
      <c r="CG176" t="str">
        <f t="shared" si="301"/>
        <v/>
      </c>
      <c r="CH176" t="str">
        <f t="shared" si="301"/>
        <v/>
      </c>
      <c r="CI176" t="str">
        <f t="shared" si="301"/>
        <v/>
      </c>
      <c r="CJ176" t="str">
        <f t="shared" si="301"/>
        <v/>
      </c>
      <c r="CK176" t="str">
        <f t="shared" si="301"/>
        <v/>
      </c>
      <c r="CL176" t="str">
        <f t="shared" si="301"/>
        <v/>
      </c>
      <c r="CM176" t="str">
        <f t="shared" si="301"/>
        <v/>
      </c>
      <c r="CN176" t="str">
        <f t="shared" si="301"/>
        <v/>
      </c>
      <c r="CO176" t="str">
        <f t="shared" si="301"/>
        <v/>
      </c>
      <c r="CP176">
        <f t="shared" si="301"/>
        <v>3.5058606447244504E-2</v>
      </c>
      <c r="CQ176">
        <f t="shared" si="301"/>
        <v>-4.4665272295257609E-2</v>
      </c>
      <c r="CR176">
        <f t="shared" ref="CR176:DW176" si="302">IF(CR96="","",LN(CR96/(d_1IL*CR86^d_2IL*CR88^d_3IL*CR125^d_4IL)))</f>
        <v>-0.32867828535824606</v>
      </c>
      <c r="CS176">
        <f t="shared" si="302"/>
        <v>0.13524286386205733</v>
      </c>
      <c r="CT176">
        <f t="shared" si="302"/>
        <v>-0.11294269460114641</v>
      </c>
      <c r="CU176">
        <f t="shared" si="302"/>
        <v>-0.22016527057854796</v>
      </c>
      <c r="CV176">
        <f t="shared" si="302"/>
        <v>-0.31536207813480238</v>
      </c>
      <c r="CW176">
        <f t="shared" si="302"/>
        <v>4.1081748830183631E-2</v>
      </c>
      <c r="CX176">
        <f t="shared" si="302"/>
        <v>0.22553911424663109</v>
      </c>
      <c r="CY176">
        <f t="shared" si="302"/>
        <v>-0.137833951542436</v>
      </c>
      <c r="CZ176">
        <f t="shared" si="302"/>
        <v>1.4957592581412001E-2</v>
      </c>
      <c r="DA176">
        <f t="shared" si="302"/>
        <v>-1.5889481097296387E-2</v>
      </c>
      <c r="DB176">
        <f t="shared" si="302"/>
        <v>-5.4565467571953082E-2</v>
      </c>
      <c r="DC176" t="str">
        <f t="shared" si="302"/>
        <v/>
      </c>
      <c r="DD176">
        <f t="shared" si="302"/>
        <v>-0.21711082907245979</v>
      </c>
      <c r="DE176">
        <f t="shared" si="302"/>
        <v>-1.9073587278744732E-2</v>
      </c>
      <c r="DF176" t="str">
        <f t="shared" si="302"/>
        <v/>
      </c>
      <c r="DG176" t="str">
        <f t="shared" si="302"/>
        <v/>
      </c>
      <c r="DH176">
        <f t="shared" si="302"/>
        <v>4.3548669186763513E-2</v>
      </c>
      <c r="DI176">
        <f t="shared" si="302"/>
        <v>-8.4041930196637887E-2</v>
      </c>
      <c r="DJ176">
        <f t="shared" si="302"/>
        <v>8.9861614183396846E-2</v>
      </c>
      <c r="DK176">
        <f t="shared" si="302"/>
        <v>-9.7536350805132774E-2</v>
      </c>
      <c r="DL176">
        <f t="shared" si="302"/>
        <v>-0.19460500110085449</v>
      </c>
      <c r="DM176">
        <f t="shared" si="302"/>
        <v>0.27377132482398581</v>
      </c>
      <c r="DN176">
        <f t="shared" si="302"/>
        <v>0.11151181527915258</v>
      </c>
      <c r="DO176">
        <f t="shared" si="302"/>
        <v>6.2256287978607529E-2</v>
      </c>
      <c r="DP176">
        <f t="shared" si="302"/>
        <v>5.3200619667952344E-2</v>
      </c>
      <c r="DQ176">
        <f t="shared" si="302"/>
        <v>-7.2931848737874394E-2</v>
      </c>
      <c r="DR176">
        <f t="shared" si="302"/>
        <v>7.9748504482782742E-2</v>
      </c>
      <c r="DS176">
        <f t="shared" si="302"/>
        <v>1.5934164299883587E-2</v>
      </c>
      <c r="DT176" t="str">
        <f t="shared" si="302"/>
        <v/>
      </c>
      <c r="DU176" t="str">
        <f t="shared" si="302"/>
        <v/>
      </c>
      <c r="DV176">
        <f t="shared" si="302"/>
        <v>-0.12075675174321468</v>
      </c>
      <c r="DW176" t="str">
        <f t="shared" si="302"/>
        <v/>
      </c>
      <c r="DX176" t="str">
        <f t="shared" ref="DX176:EL176" si="303">IF(DX96="","",LN(DX96/(d_1IL*DX86^d_2IL*DX88^d_3IL*DX125^d_4IL)))</f>
        <v/>
      </c>
      <c r="DY176">
        <f t="shared" si="303"/>
        <v>-0.30563437652497077</v>
      </c>
      <c r="DZ176">
        <f t="shared" si="303"/>
        <v>-0.11701230723147511</v>
      </c>
      <c r="EA176">
        <f t="shared" si="303"/>
        <v>1.8617815677424237E-3</v>
      </c>
      <c r="EB176">
        <f t="shared" si="303"/>
        <v>0.23984344410413391</v>
      </c>
      <c r="EC176">
        <f t="shared" si="303"/>
        <v>1.8875093820087924E-2</v>
      </c>
      <c r="ED176">
        <f t="shared" si="303"/>
        <v>-3.0690725315760805E-2</v>
      </c>
      <c r="EE176">
        <f t="shared" si="303"/>
        <v>3.0108529904622854E-2</v>
      </c>
      <c r="EF176">
        <f t="shared" si="303"/>
        <v>-0.14098526364509689</v>
      </c>
      <c r="EG176">
        <f t="shared" si="303"/>
        <v>0.12247682210996451</v>
      </c>
      <c r="EH176" t="str">
        <f t="shared" si="303"/>
        <v/>
      </c>
      <c r="EI176">
        <f t="shared" si="303"/>
        <v>-0.16242585602032483</v>
      </c>
      <c r="EJ176">
        <f t="shared" si="303"/>
        <v>-0.1278974287430521</v>
      </c>
      <c r="EK176" t="str">
        <f t="shared" si="303"/>
        <v/>
      </c>
      <c r="EL176">
        <f t="shared" si="303"/>
        <v>-0.12921760211283861</v>
      </c>
    </row>
    <row r="177" spans="3:142" x14ac:dyDescent="0.2">
      <c r="E177" s="10" cm="1">
        <f t="array" ref="E177">gavg(AF177,EL177)</f>
        <v>1.0000011134032065</v>
      </c>
      <c r="F177" cm="1">
        <f t="array" ref="F177">lnstdev(AF177,EL177)</f>
        <v>0.15869716571609291</v>
      </c>
      <c r="AE177" s="49" t="s">
        <v>697</v>
      </c>
      <c r="AF177" t="str">
        <f>IF(AF175="","",EXP(AF175))</f>
        <v/>
      </c>
      <c r="AG177" t="str">
        <f t="shared" ref="AG177:CR177" si="304">IF(AG175="","",EXP(AG175))</f>
        <v/>
      </c>
      <c r="AH177" t="str">
        <f t="shared" si="304"/>
        <v/>
      </c>
      <c r="AI177" t="str">
        <f t="shared" si="304"/>
        <v/>
      </c>
      <c r="AJ177" t="str">
        <f t="shared" si="304"/>
        <v/>
      </c>
      <c r="AK177" t="str">
        <f t="shared" si="304"/>
        <v/>
      </c>
      <c r="AL177">
        <f t="shared" si="304"/>
        <v>1.2504493188320953</v>
      </c>
      <c r="AM177">
        <f t="shared" si="304"/>
        <v>1.2719478466774394</v>
      </c>
      <c r="AN177">
        <f t="shared" si="304"/>
        <v>1.0997440614263401</v>
      </c>
      <c r="AO177">
        <f t="shared" si="304"/>
        <v>0.89544932302474078</v>
      </c>
      <c r="AP177">
        <f t="shared" si="304"/>
        <v>0.95254650414994624</v>
      </c>
      <c r="AQ177">
        <f t="shared" si="304"/>
        <v>0.71955651787438579</v>
      </c>
      <c r="AR177">
        <f t="shared" si="304"/>
        <v>0.93764030778915719</v>
      </c>
      <c r="AS177">
        <f t="shared" si="304"/>
        <v>1.0779882921360375</v>
      </c>
      <c r="AT177">
        <f t="shared" si="304"/>
        <v>1.2157964036329778</v>
      </c>
      <c r="AU177" t="str">
        <f t="shared" si="304"/>
        <v/>
      </c>
      <c r="AV177">
        <f t="shared" si="304"/>
        <v>0.81029874092916165</v>
      </c>
      <c r="AW177" t="str">
        <f t="shared" si="304"/>
        <v/>
      </c>
      <c r="AX177" t="str">
        <f t="shared" si="304"/>
        <v/>
      </c>
      <c r="AY177" t="str">
        <f t="shared" si="304"/>
        <v/>
      </c>
      <c r="AZ177" t="str">
        <f t="shared" si="304"/>
        <v/>
      </c>
      <c r="BA177" t="str">
        <f t="shared" si="304"/>
        <v/>
      </c>
      <c r="BB177">
        <f t="shared" si="304"/>
        <v>0.97798795500503044</v>
      </c>
      <c r="BC177" t="str">
        <f t="shared" si="304"/>
        <v/>
      </c>
      <c r="BD177" t="str">
        <f t="shared" si="304"/>
        <v/>
      </c>
      <c r="BE177" t="str">
        <f t="shared" si="304"/>
        <v/>
      </c>
      <c r="BF177" t="str">
        <f t="shared" si="304"/>
        <v/>
      </c>
      <c r="BG177" t="str">
        <f t="shared" si="304"/>
        <v/>
      </c>
      <c r="BH177" t="str">
        <f t="shared" si="304"/>
        <v/>
      </c>
      <c r="BI177">
        <f t="shared" si="304"/>
        <v>0.87604427101336213</v>
      </c>
      <c r="BJ177">
        <f t="shared" si="304"/>
        <v>1.0111608235328102</v>
      </c>
      <c r="BK177">
        <f t="shared" si="304"/>
        <v>0.77947090681673603</v>
      </c>
      <c r="BL177" t="str">
        <f t="shared" si="304"/>
        <v/>
      </c>
      <c r="BM177">
        <f t="shared" si="304"/>
        <v>1.3182024932036209</v>
      </c>
      <c r="BN177">
        <f t="shared" si="304"/>
        <v>1.1221276412904142</v>
      </c>
      <c r="BO177" t="str">
        <f t="shared" si="304"/>
        <v/>
      </c>
      <c r="BP177">
        <f t="shared" si="304"/>
        <v>1.185539605216317</v>
      </c>
      <c r="BQ177">
        <f t="shared" si="304"/>
        <v>1.5373099566545696</v>
      </c>
      <c r="BR177">
        <f t="shared" si="304"/>
        <v>1.1304566651874037</v>
      </c>
      <c r="BS177">
        <f t="shared" si="304"/>
        <v>1.1785544215840411</v>
      </c>
      <c r="BT177">
        <f t="shared" si="304"/>
        <v>1.3346168259773528</v>
      </c>
      <c r="BU177">
        <f t="shared" si="304"/>
        <v>1.1220764586869179</v>
      </c>
      <c r="BV177">
        <f t="shared" si="304"/>
        <v>1.1035535139244779</v>
      </c>
      <c r="BW177">
        <f t="shared" si="304"/>
        <v>0.9353735663786491</v>
      </c>
      <c r="BX177">
        <f t="shared" si="304"/>
        <v>0.96088052595344386</v>
      </c>
      <c r="BY177">
        <f t="shared" si="304"/>
        <v>0.9136088779367052</v>
      </c>
      <c r="BZ177">
        <f t="shared" si="304"/>
        <v>1.1317635372028647</v>
      </c>
      <c r="CA177">
        <f t="shared" si="304"/>
        <v>1.1573628520073254</v>
      </c>
      <c r="CB177">
        <f t="shared" si="304"/>
        <v>1.1210614110647046</v>
      </c>
      <c r="CC177">
        <f t="shared" si="304"/>
        <v>0.86967970943819317</v>
      </c>
      <c r="CD177">
        <f t="shared" si="304"/>
        <v>0.8683408879379193</v>
      </c>
      <c r="CE177">
        <f t="shared" si="304"/>
        <v>0.74067410980884485</v>
      </c>
      <c r="CF177">
        <f t="shared" si="304"/>
        <v>0.72879417942715252</v>
      </c>
      <c r="CG177" t="str">
        <f t="shared" si="304"/>
        <v/>
      </c>
      <c r="CH177" t="str">
        <f t="shared" si="304"/>
        <v/>
      </c>
      <c r="CI177" t="str">
        <f t="shared" si="304"/>
        <v/>
      </c>
      <c r="CJ177" t="str">
        <f t="shared" si="304"/>
        <v/>
      </c>
      <c r="CK177" t="str">
        <f t="shared" si="304"/>
        <v/>
      </c>
      <c r="CL177" t="str">
        <f t="shared" si="304"/>
        <v/>
      </c>
      <c r="CM177" t="str">
        <f t="shared" si="304"/>
        <v/>
      </c>
      <c r="CN177" t="str">
        <f t="shared" si="304"/>
        <v/>
      </c>
      <c r="CO177" t="str">
        <f t="shared" si="304"/>
        <v/>
      </c>
      <c r="CP177">
        <f t="shared" si="304"/>
        <v>0.95380258913805416</v>
      </c>
      <c r="CQ177">
        <f t="shared" si="304"/>
        <v>1.0577094870806243</v>
      </c>
      <c r="CR177">
        <f t="shared" si="304"/>
        <v>0.98198053879286307</v>
      </c>
      <c r="CS177">
        <f t="shared" ref="CS177:EL177" si="305">IF(CS175="","",EXP(CS175))</f>
        <v>1.1716740573870494</v>
      </c>
      <c r="CT177">
        <f t="shared" si="305"/>
        <v>0.90898686266233641</v>
      </c>
      <c r="CU177">
        <f t="shared" si="305"/>
        <v>1.0631594226801975</v>
      </c>
      <c r="CV177">
        <f t="shared" si="305"/>
        <v>0.84752329619183908</v>
      </c>
      <c r="CW177">
        <f t="shared" si="305"/>
        <v>1.0397108431987165</v>
      </c>
      <c r="CX177">
        <f t="shared" si="305"/>
        <v>1.1532661945565772</v>
      </c>
      <c r="CY177">
        <f t="shared" si="305"/>
        <v>0.88731997841290744</v>
      </c>
      <c r="CZ177">
        <f t="shared" si="305"/>
        <v>0.92208238831437284</v>
      </c>
      <c r="DA177">
        <f t="shared" si="305"/>
        <v>0.94333147342739687</v>
      </c>
      <c r="DB177">
        <f t="shared" si="305"/>
        <v>1.1011536783458638</v>
      </c>
      <c r="DC177" t="str">
        <f t="shared" si="305"/>
        <v/>
      </c>
      <c r="DD177">
        <f t="shared" si="305"/>
        <v>0.79429763001554599</v>
      </c>
      <c r="DE177">
        <f t="shared" si="305"/>
        <v>1.1354835157860022</v>
      </c>
      <c r="DF177" t="str">
        <f t="shared" si="305"/>
        <v/>
      </c>
      <c r="DG177" t="str">
        <f t="shared" si="305"/>
        <v/>
      </c>
      <c r="DH177">
        <f t="shared" si="305"/>
        <v>0.99596827245156949</v>
      </c>
      <c r="DI177">
        <f t="shared" si="305"/>
        <v>1.0694226971081566</v>
      </c>
      <c r="DJ177">
        <f t="shared" si="305"/>
        <v>0.93229043501485054</v>
      </c>
      <c r="DK177">
        <f t="shared" si="305"/>
        <v>0.88969661765869312</v>
      </c>
      <c r="DL177">
        <f t="shared" si="305"/>
        <v>0.79514712178274638</v>
      </c>
      <c r="DM177">
        <f t="shared" si="305"/>
        <v>1.137438074738921</v>
      </c>
      <c r="DN177">
        <f t="shared" si="305"/>
        <v>1.0334843047009952</v>
      </c>
      <c r="DO177">
        <f t="shared" si="305"/>
        <v>1.3154449639682533</v>
      </c>
      <c r="DP177">
        <f t="shared" si="305"/>
        <v>1.2833178483930057</v>
      </c>
      <c r="DQ177">
        <f t="shared" si="305"/>
        <v>0.95639937095235283</v>
      </c>
      <c r="DR177">
        <f t="shared" si="305"/>
        <v>0.90715276167684766</v>
      </c>
      <c r="DS177">
        <f t="shared" si="305"/>
        <v>0.87829299267035787</v>
      </c>
      <c r="DT177" t="str">
        <f t="shared" si="305"/>
        <v/>
      </c>
      <c r="DU177" t="str">
        <f t="shared" si="305"/>
        <v/>
      </c>
      <c r="DV177">
        <f t="shared" si="305"/>
        <v>0.99562738032168752</v>
      </c>
      <c r="DW177" t="str">
        <f t="shared" si="305"/>
        <v/>
      </c>
      <c r="DX177" t="str">
        <f t="shared" si="305"/>
        <v/>
      </c>
      <c r="DY177">
        <f t="shared" si="305"/>
        <v>0.92285893047617429</v>
      </c>
      <c r="DZ177">
        <f t="shared" si="305"/>
        <v>0.86919501162376633</v>
      </c>
      <c r="EA177">
        <f t="shared" si="305"/>
        <v>0.94567938695553666</v>
      </c>
      <c r="EB177">
        <f t="shared" si="305"/>
        <v>1.1135244605883576</v>
      </c>
      <c r="EC177">
        <f t="shared" si="305"/>
        <v>0.89361205967626067</v>
      </c>
      <c r="ED177">
        <f t="shared" si="305"/>
        <v>1.1283291991804822</v>
      </c>
      <c r="EE177">
        <f t="shared" si="305"/>
        <v>0.98336880047099939</v>
      </c>
      <c r="EF177">
        <f t="shared" si="305"/>
        <v>0.80110828404663281</v>
      </c>
      <c r="EG177">
        <f t="shared" si="305"/>
        <v>1.1583834213756572</v>
      </c>
      <c r="EH177" t="str">
        <f t="shared" si="305"/>
        <v/>
      </c>
      <c r="EI177">
        <f t="shared" si="305"/>
        <v>0.85717419634745307</v>
      </c>
      <c r="EJ177">
        <f t="shared" si="305"/>
        <v>0.92086126571049531</v>
      </c>
      <c r="EK177" t="str">
        <f t="shared" si="305"/>
        <v/>
      </c>
      <c r="EL177">
        <f t="shared" si="305"/>
        <v>0.83754083252615164</v>
      </c>
    </row>
    <row r="178" spans="3:142" ht="13.5" thickBot="1" x14ac:dyDescent="0.25">
      <c r="E178" s="10" cm="1">
        <f t="array" ref="E178">gavg(AF178,EL178)</f>
        <v>1.0000009191816015</v>
      </c>
      <c r="F178" cm="1">
        <f t="array" ref="F178">lnstdev(AF178,EL178)</f>
        <v>0.16919937842285102</v>
      </c>
      <c r="AE178" s="50" t="s">
        <v>698</v>
      </c>
      <c r="AF178" t="str">
        <f>IF(AF176="","",EXP(AF176))</f>
        <v/>
      </c>
      <c r="AG178" t="str">
        <f t="shared" ref="AG178:CR178" si="306">IF(AG176="","",EXP(AG176))</f>
        <v/>
      </c>
      <c r="AH178" t="str">
        <f t="shared" si="306"/>
        <v/>
      </c>
      <c r="AI178" t="str">
        <f t="shared" si="306"/>
        <v/>
      </c>
      <c r="AJ178" t="str">
        <f t="shared" si="306"/>
        <v/>
      </c>
      <c r="AK178" t="str">
        <f t="shared" si="306"/>
        <v/>
      </c>
      <c r="AL178">
        <f t="shared" si="306"/>
        <v>1.4428845618307424</v>
      </c>
      <c r="AM178">
        <f t="shared" si="306"/>
        <v>1.3314746277877596</v>
      </c>
      <c r="AN178">
        <f t="shared" si="306"/>
        <v>1.0733573368820011</v>
      </c>
      <c r="AO178">
        <f t="shared" si="306"/>
        <v>1.1288756732543508</v>
      </c>
      <c r="AP178">
        <f t="shared" si="306"/>
        <v>1.1434737412987843</v>
      </c>
      <c r="AQ178">
        <f t="shared" si="306"/>
        <v>1.1603246789431139</v>
      </c>
      <c r="AR178">
        <f t="shared" si="306"/>
        <v>0.75085996136807243</v>
      </c>
      <c r="AS178">
        <f t="shared" si="306"/>
        <v>0.79926837035524634</v>
      </c>
      <c r="AT178">
        <f t="shared" si="306"/>
        <v>0.79337216011006206</v>
      </c>
      <c r="AU178" t="str">
        <f t="shared" si="306"/>
        <v/>
      </c>
      <c r="AV178">
        <f t="shared" si="306"/>
        <v>0.80117991581145331</v>
      </c>
      <c r="AW178" t="str">
        <f t="shared" si="306"/>
        <v/>
      </c>
      <c r="AX178" t="str">
        <f t="shared" si="306"/>
        <v/>
      </c>
      <c r="AY178" t="str">
        <f t="shared" si="306"/>
        <v/>
      </c>
      <c r="AZ178" t="str">
        <f t="shared" si="306"/>
        <v/>
      </c>
      <c r="BA178" t="str">
        <f t="shared" si="306"/>
        <v/>
      </c>
      <c r="BB178">
        <f t="shared" si="306"/>
        <v>0.71184016598903344</v>
      </c>
      <c r="BC178" t="str">
        <f t="shared" si="306"/>
        <v/>
      </c>
      <c r="BD178" t="str">
        <f t="shared" si="306"/>
        <v/>
      </c>
      <c r="BE178" t="str">
        <f t="shared" si="306"/>
        <v/>
      </c>
      <c r="BF178" t="str">
        <f t="shared" si="306"/>
        <v/>
      </c>
      <c r="BG178" t="str">
        <f t="shared" si="306"/>
        <v/>
      </c>
      <c r="BH178" t="str">
        <f t="shared" si="306"/>
        <v/>
      </c>
      <c r="BI178">
        <f t="shared" si="306"/>
        <v>1.1462837562740786</v>
      </c>
      <c r="BJ178">
        <f t="shared" si="306"/>
        <v>0.91096113150279234</v>
      </c>
      <c r="BK178">
        <f t="shared" si="306"/>
        <v>1.1784763852791855</v>
      </c>
      <c r="BL178" t="str">
        <f t="shared" si="306"/>
        <v/>
      </c>
      <c r="BM178">
        <f t="shared" si="306"/>
        <v>1.0946001921845179</v>
      </c>
      <c r="BN178">
        <f t="shared" si="306"/>
        <v>1.2306959169976603</v>
      </c>
      <c r="BO178" t="str">
        <f t="shared" si="306"/>
        <v/>
      </c>
      <c r="BP178">
        <f t="shared" si="306"/>
        <v>1.0059508740029601</v>
      </c>
      <c r="BQ178">
        <f t="shared" si="306"/>
        <v>1.5321964652321252</v>
      </c>
      <c r="BR178">
        <f t="shared" si="306"/>
        <v>1.0245241971663972</v>
      </c>
      <c r="BS178">
        <f t="shared" si="306"/>
        <v>1.1056808731928525</v>
      </c>
      <c r="BT178">
        <f t="shared" si="306"/>
        <v>1.4378597548228722</v>
      </c>
      <c r="BU178">
        <f t="shared" si="306"/>
        <v>1.1862249416212061</v>
      </c>
      <c r="BV178">
        <f t="shared" si="306"/>
        <v>1.1101728340253372</v>
      </c>
      <c r="BW178">
        <f t="shared" si="306"/>
        <v>0.99592362444961458</v>
      </c>
      <c r="BX178">
        <f t="shared" si="306"/>
        <v>0.96170801524577387</v>
      </c>
      <c r="BY178">
        <f t="shared" si="306"/>
        <v>1.009421824786171</v>
      </c>
      <c r="BZ178">
        <f t="shared" si="306"/>
        <v>0.95821393303061442</v>
      </c>
      <c r="CA178">
        <f t="shared" si="306"/>
        <v>1.2488091863631829</v>
      </c>
      <c r="CB178">
        <f t="shared" si="306"/>
        <v>1.0535324015881229</v>
      </c>
      <c r="CC178">
        <f t="shared" si="306"/>
        <v>1.0684884262797438</v>
      </c>
      <c r="CD178">
        <f t="shared" si="306"/>
        <v>0.94885273267210579</v>
      </c>
      <c r="CE178">
        <f t="shared" si="306"/>
        <v>0.90231708083916617</v>
      </c>
      <c r="CF178">
        <f t="shared" si="306"/>
        <v>0.83613329164654704</v>
      </c>
      <c r="CG178" t="str">
        <f t="shared" si="306"/>
        <v/>
      </c>
      <c r="CH178" t="str">
        <f t="shared" si="306"/>
        <v/>
      </c>
      <c r="CI178" t="str">
        <f t="shared" si="306"/>
        <v/>
      </c>
      <c r="CJ178" t="str">
        <f t="shared" si="306"/>
        <v/>
      </c>
      <c r="CK178" t="str">
        <f t="shared" si="306"/>
        <v/>
      </c>
      <c r="CL178" t="str">
        <f t="shared" si="306"/>
        <v/>
      </c>
      <c r="CM178" t="str">
        <f t="shared" si="306"/>
        <v/>
      </c>
      <c r="CN178" t="str">
        <f t="shared" si="306"/>
        <v/>
      </c>
      <c r="CO178" t="str">
        <f t="shared" si="306"/>
        <v/>
      </c>
      <c r="CP178">
        <f t="shared" si="306"/>
        <v>1.0356804045700168</v>
      </c>
      <c r="CQ178">
        <f t="shared" si="306"/>
        <v>0.95631753423814858</v>
      </c>
      <c r="CR178">
        <f t="shared" si="306"/>
        <v>0.71987457368803087</v>
      </c>
      <c r="CS178">
        <f t="shared" ref="CS178:EL178" si="307">IF(CS176="","",EXP(CS176))</f>
        <v>1.1448147847317853</v>
      </c>
      <c r="CT178">
        <f t="shared" si="307"/>
        <v>0.89320184393737045</v>
      </c>
      <c r="CU178">
        <f t="shared" si="307"/>
        <v>0.80238617617598518</v>
      </c>
      <c r="CV178">
        <f t="shared" si="307"/>
        <v>0.72952468150675953</v>
      </c>
      <c r="CW178">
        <f t="shared" si="307"/>
        <v>1.0419372792177088</v>
      </c>
      <c r="CX178">
        <f t="shared" si="307"/>
        <v>1.2529980432324008</v>
      </c>
      <c r="CY178">
        <f t="shared" si="307"/>
        <v>0.87124334834961936</v>
      </c>
      <c r="CZ178">
        <f t="shared" si="307"/>
        <v>1.0150700172038449</v>
      </c>
      <c r="DA178">
        <f t="shared" si="307"/>
        <v>0.98423609073731577</v>
      </c>
      <c r="DB178">
        <f t="shared" si="307"/>
        <v>0.94689651581279899</v>
      </c>
      <c r="DC178" t="str">
        <f t="shared" si="307"/>
        <v/>
      </c>
      <c r="DD178">
        <f t="shared" si="307"/>
        <v>0.80484076460643661</v>
      </c>
      <c r="DE178">
        <f t="shared" si="307"/>
        <v>0.981107162580099</v>
      </c>
      <c r="DF178" t="str">
        <f t="shared" si="307"/>
        <v/>
      </c>
      <c r="DG178" t="str">
        <f t="shared" si="307"/>
        <v/>
      </c>
      <c r="DH178">
        <f t="shared" si="307"/>
        <v>1.0445108285675773</v>
      </c>
      <c r="DI178">
        <f t="shared" si="307"/>
        <v>0.91939270496999537</v>
      </c>
      <c r="DJ178">
        <f t="shared" si="307"/>
        <v>1.0940228759800361</v>
      </c>
      <c r="DK178">
        <f t="shared" si="307"/>
        <v>0.90706936825465501</v>
      </c>
      <c r="DL178">
        <f t="shared" si="307"/>
        <v>0.82315974103961287</v>
      </c>
      <c r="DM178">
        <f t="shared" si="307"/>
        <v>1.3149140796475323</v>
      </c>
      <c r="DN178">
        <f t="shared" si="307"/>
        <v>1.1179669530191298</v>
      </c>
      <c r="DO178">
        <f t="shared" si="307"/>
        <v>1.0642350604320641</v>
      </c>
      <c r="DP178">
        <f t="shared" si="307"/>
        <v>1.0546412056655325</v>
      </c>
      <c r="DQ178">
        <f t="shared" si="307"/>
        <v>0.92966418565449049</v>
      </c>
      <c r="DR178">
        <f t="shared" si="307"/>
        <v>1.083014660089658</v>
      </c>
      <c r="DS178">
        <f t="shared" si="307"/>
        <v>1.0160617900647577</v>
      </c>
      <c r="DT178" t="str">
        <f t="shared" si="307"/>
        <v/>
      </c>
      <c r="DU178" t="str">
        <f t="shared" si="307"/>
        <v/>
      </c>
      <c r="DV178">
        <f t="shared" si="307"/>
        <v>0.8862495120243129</v>
      </c>
      <c r="DW178" t="str">
        <f t="shared" si="307"/>
        <v/>
      </c>
      <c r="DX178" t="str">
        <f t="shared" si="307"/>
        <v/>
      </c>
      <c r="DY178">
        <f t="shared" si="307"/>
        <v>0.73665590891714505</v>
      </c>
      <c r="DZ178">
        <f t="shared" si="307"/>
        <v>0.88957424489989378</v>
      </c>
      <c r="EA178">
        <f t="shared" si="307"/>
        <v>1.0018635157591069</v>
      </c>
      <c r="EB178">
        <f t="shared" si="307"/>
        <v>1.2710501443499926</v>
      </c>
      <c r="EC178">
        <f t="shared" si="307"/>
        <v>1.0190543544811204</v>
      </c>
      <c r="ED178">
        <f t="shared" si="307"/>
        <v>0.96977545369811868</v>
      </c>
      <c r="EE178">
        <f t="shared" si="307"/>
        <v>1.0305663751547527</v>
      </c>
      <c r="EF178">
        <f t="shared" si="307"/>
        <v>0.86850211015869572</v>
      </c>
      <c r="EG178">
        <f t="shared" si="307"/>
        <v>1.1302929219653506</v>
      </c>
      <c r="EH178" t="str">
        <f t="shared" si="307"/>
        <v/>
      </c>
      <c r="EI178">
        <f t="shared" si="307"/>
        <v>0.85007911613758247</v>
      </c>
      <c r="EJ178">
        <f t="shared" si="307"/>
        <v>0.87994363144023913</v>
      </c>
      <c r="EK178" t="str">
        <f t="shared" si="307"/>
        <v/>
      </c>
      <c r="EL178">
        <f t="shared" si="307"/>
        <v>0.87878271976204825</v>
      </c>
    </row>
    <row r="179" spans="3:142" x14ac:dyDescent="0.2">
      <c r="E179" s="10" cm="1">
        <f t="array" ref="E179">gavg(AF179,EL179)</f>
        <v>6.4669775591443712E-2</v>
      </c>
      <c r="F179" cm="1">
        <f t="array" ref="F179">lnstdev(AF179,EL179)</f>
        <v>1.0817097021668314</v>
      </c>
      <c r="AE179" s="48" t="s">
        <v>714</v>
      </c>
      <c r="AF179" t="str">
        <f t="shared" ref="AF179:BK179" si="308">IF(AF95="","",LN(AF95/(h_1CF*AF86^h_2CF*AF88^h_3CF*AF125^h_4CF*AF97^h_5CF)))</f>
        <v/>
      </c>
      <c r="AG179" t="str">
        <f t="shared" si="308"/>
        <v/>
      </c>
      <c r="AH179" t="str">
        <f t="shared" si="308"/>
        <v/>
      </c>
      <c r="AI179" t="str">
        <f t="shared" si="308"/>
        <v/>
      </c>
      <c r="AJ179" t="str">
        <f t="shared" si="308"/>
        <v/>
      </c>
      <c r="AK179" t="str">
        <f t="shared" si="308"/>
        <v/>
      </c>
      <c r="AL179">
        <f t="shared" si="308"/>
        <v>3.4654540745944297E-2</v>
      </c>
      <c r="AM179">
        <f t="shared" si="308"/>
        <v>6.3371640757203043E-2</v>
      </c>
      <c r="AN179">
        <f t="shared" si="308"/>
        <v>-7.2742056584782402E-2</v>
      </c>
      <c r="AO179">
        <f t="shared" si="308"/>
        <v>-0.26822761300015308</v>
      </c>
      <c r="AP179">
        <f t="shared" si="308"/>
        <v>-2.5060410944055134E-2</v>
      </c>
      <c r="AQ179">
        <f t="shared" si="308"/>
        <v>-0.2839014355350955</v>
      </c>
      <c r="AR179">
        <f t="shared" si="308"/>
        <v>6.3293842419552548E-3</v>
      </c>
      <c r="AS179">
        <f t="shared" si="308"/>
        <v>0.16450119258126328</v>
      </c>
      <c r="AT179">
        <f t="shared" si="308"/>
        <v>0.30076936840044199</v>
      </c>
      <c r="AU179" t="str">
        <f t="shared" si="308"/>
        <v/>
      </c>
      <c r="AV179">
        <f t="shared" si="308"/>
        <v>-7.6965612177252049E-2</v>
      </c>
      <c r="AW179" t="str">
        <f t="shared" si="308"/>
        <v/>
      </c>
      <c r="AX179" t="str">
        <f t="shared" si="308"/>
        <v/>
      </c>
      <c r="AY179" t="str">
        <f t="shared" si="308"/>
        <v/>
      </c>
      <c r="AZ179" t="str">
        <f t="shared" si="308"/>
        <v/>
      </c>
      <c r="BA179" t="str">
        <f t="shared" si="308"/>
        <v/>
      </c>
      <c r="BB179">
        <f t="shared" si="308"/>
        <v>0.1572775506509364</v>
      </c>
      <c r="BC179" t="str">
        <f t="shared" si="308"/>
        <v/>
      </c>
      <c r="BD179" t="str">
        <f t="shared" si="308"/>
        <v/>
      </c>
      <c r="BE179" t="str">
        <f t="shared" si="308"/>
        <v/>
      </c>
      <c r="BF179" t="str">
        <f t="shared" si="308"/>
        <v/>
      </c>
      <c r="BG179" t="str">
        <f t="shared" si="308"/>
        <v/>
      </c>
      <c r="BH179" t="str">
        <f t="shared" si="308"/>
        <v/>
      </c>
      <c r="BI179">
        <f t="shared" si="308"/>
        <v>-9.6994851072595076E-2</v>
      </c>
      <c r="BJ179">
        <f t="shared" si="308"/>
        <v>6.9451905999298569E-2</v>
      </c>
      <c r="BK179">
        <f t="shared" si="308"/>
        <v>-0.20433377522042961</v>
      </c>
      <c r="BL179" t="str">
        <f t="shared" ref="BL179:CQ179" si="309">IF(BL95="","",LN(BL95/(h_1CF*BL86^h_2CF*BL88^h_3CF*BL125^h_4CF*BL97^h_5CF)))</f>
        <v/>
      </c>
      <c r="BM179">
        <f t="shared" si="309"/>
        <v>0.11642728608906072</v>
      </c>
      <c r="BN179">
        <f t="shared" si="309"/>
        <v>3.0701191153461052E-2</v>
      </c>
      <c r="BO179" t="str">
        <f t="shared" si="309"/>
        <v/>
      </c>
      <c r="BP179">
        <f t="shared" si="309"/>
        <v>5.2180170382712818E-2</v>
      </c>
      <c r="BQ179">
        <f t="shared" si="309"/>
        <v>0.32476219232922904</v>
      </c>
      <c r="BR179">
        <f t="shared" si="309"/>
        <v>2.6457440147580596E-2</v>
      </c>
      <c r="BS179">
        <f t="shared" si="309"/>
        <v>8.0145664791503202E-2</v>
      </c>
      <c r="BT179">
        <f t="shared" si="309"/>
        <v>0.21546501300169613</v>
      </c>
      <c r="BU179">
        <f t="shared" si="309"/>
        <v>5.1783974329130143E-2</v>
      </c>
      <c r="BV179">
        <f t="shared" si="309"/>
        <v>4.3044730715916725E-2</v>
      </c>
      <c r="BW179">
        <f t="shared" si="309"/>
        <v>-0.10516077363179599</v>
      </c>
      <c r="BX179">
        <f t="shared" si="309"/>
        <v>-7.0398860409940076E-2</v>
      </c>
      <c r="BY179">
        <f t="shared" si="309"/>
        <v>-0.1116402494641498</v>
      </c>
      <c r="BZ179">
        <f t="shared" si="309"/>
        <v>3.2330851722369557E-3</v>
      </c>
      <c r="CA179">
        <f t="shared" si="309"/>
        <v>8.2580576265299702E-2</v>
      </c>
      <c r="CB179">
        <f t="shared" si="309"/>
        <v>4.6174472963703514E-2</v>
      </c>
      <c r="CC179">
        <f t="shared" si="309"/>
        <v>-0.16424880734772496</v>
      </c>
      <c r="CD179">
        <f t="shared" si="309"/>
        <v>-0.15598067636163801</v>
      </c>
      <c r="CE179">
        <f t="shared" si="309"/>
        <v>-0.30941661882878957</v>
      </c>
      <c r="CF179">
        <f t="shared" si="309"/>
        <v>-0.32015082761474939</v>
      </c>
      <c r="CG179" t="str">
        <f t="shared" si="309"/>
        <v/>
      </c>
      <c r="CH179" t="str">
        <f t="shared" si="309"/>
        <v/>
      </c>
      <c r="CI179" t="str">
        <f t="shared" si="309"/>
        <v/>
      </c>
      <c r="CJ179" t="str">
        <f t="shared" si="309"/>
        <v/>
      </c>
      <c r="CK179" t="str">
        <f t="shared" si="309"/>
        <v/>
      </c>
      <c r="CL179" t="str">
        <f t="shared" si="309"/>
        <v/>
      </c>
      <c r="CM179" t="str">
        <f t="shared" si="309"/>
        <v/>
      </c>
      <c r="CN179" t="str">
        <f t="shared" si="309"/>
        <v/>
      </c>
      <c r="CO179" t="str">
        <f t="shared" si="309"/>
        <v/>
      </c>
      <c r="CP179">
        <f t="shared" si="309"/>
        <v>-0.10392521263075218</v>
      </c>
      <c r="CQ179">
        <f t="shared" si="309"/>
        <v>1.5871020832750833E-2</v>
      </c>
      <c r="CR179">
        <f t="shared" ref="CR179:DW179" si="310">IF(CR95="","",LN(CR95/(h_1CF*CR86^h_2CF*CR88^h_3CF*CR125^h_4CF*CR97^h_5CF)))</f>
        <v>-4.4635069145841769E-2</v>
      </c>
      <c r="CS179">
        <f t="shared" si="310"/>
        <v>0.14750492636471152</v>
      </c>
      <c r="CT179">
        <f t="shared" si="310"/>
        <v>-9.3927051077751747E-2</v>
      </c>
      <c r="CU179">
        <f t="shared" si="310"/>
        <v>7.2632673633992062E-2</v>
      </c>
      <c r="CV179">
        <f t="shared" si="310"/>
        <v>-0.14330216798040318</v>
      </c>
      <c r="CW179">
        <f t="shared" si="310"/>
        <v>7.3506637709983252E-2</v>
      </c>
      <c r="CX179">
        <f t="shared" si="310"/>
        <v>0.18706757443065702</v>
      </c>
      <c r="CY179">
        <f t="shared" si="310"/>
        <v>-6.8791896726729279E-2</v>
      </c>
      <c r="CZ179">
        <f t="shared" si="310"/>
        <v>-2.1021072473205619E-2</v>
      </c>
      <c r="DA179">
        <f t="shared" si="310"/>
        <v>8.7888336712335403E-3</v>
      </c>
      <c r="DB179">
        <f t="shared" si="310"/>
        <v>0.17211938420939465</v>
      </c>
      <c r="DC179" t="str">
        <f t="shared" si="310"/>
        <v/>
      </c>
      <c r="DD179">
        <f t="shared" si="310"/>
        <v>-0.15513680044648037</v>
      </c>
      <c r="DE179">
        <f t="shared" si="310"/>
        <v>4.4888038744950301E-2</v>
      </c>
      <c r="DF179" t="str">
        <f t="shared" si="310"/>
        <v/>
      </c>
      <c r="DG179" t="str">
        <f t="shared" si="310"/>
        <v/>
      </c>
      <c r="DH179">
        <f t="shared" si="310"/>
        <v>6.9837907024249357E-2</v>
      </c>
      <c r="DI179">
        <f t="shared" si="310"/>
        <v>0.15431735803923527</v>
      </c>
      <c r="DJ179">
        <f t="shared" si="310"/>
        <v>2.9111708552677754E-2</v>
      </c>
      <c r="DK179">
        <f t="shared" si="310"/>
        <v>-6.5992493754064852E-3</v>
      </c>
      <c r="DL179">
        <f t="shared" si="310"/>
        <v>-0.1082080591362503</v>
      </c>
      <c r="DM179">
        <f t="shared" si="310"/>
        <v>3.0282693165206865E-2</v>
      </c>
      <c r="DN179">
        <f t="shared" si="310"/>
        <v>-4.0839594364393959E-2</v>
      </c>
      <c r="DO179">
        <f t="shared" si="310"/>
        <v>0.18654062878434949</v>
      </c>
      <c r="DP179">
        <f t="shared" si="310"/>
        <v>0.18746150982562992</v>
      </c>
      <c r="DQ179">
        <f t="shared" si="310"/>
        <v>-0.12275554665001863</v>
      </c>
      <c r="DR179">
        <f t="shared" si="310"/>
        <v>-5.1742029551690168E-2</v>
      </c>
      <c r="DS179">
        <f t="shared" si="310"/>
        <v>-6.0555677730113437E-2</v>
      </c>
      <c r="DT179" t="str">
        <f t="shared" si="310"/>
        <v/>
      </c>
      <c r="DU179" t="str">
        <f t="shared" si="310"/>
        <v/>
      </c>
      <c r="DV179">
        <f t="shared" si="310"/>
        <v>1.3355244520890378E-2</v>
      </c>
      <c r="DW179" t="str">
        <f t="shared" si="310"/>
        <v/>
      </c>
      <c r="DX179" t="str">
        <f t="shared" ref="DX179:EL179" si="311">IF(DX95="","",LN(DX95/(h_1CF*DX86^h_2CF*DX88^h_3CF*DX125^h_4CF*DX97^h_5CF)))</f>
        <v/>
      </c>
      <c r="DY179">
        <f t="shared" si="311"/>
        <v>-0.10667623480890273</v>
      </c>
      <c r="DZ179">
        <f t="shared" si="311"/>
        <v>-0.12327222793791287</v>
      </c>
      <c r="EA179">
        <f t="shared" si="311"/>
        <v>-2.6902790733515449E-2</v>
      </c>
      <c r="EB179">
        <f t="shared" si="311"/>
        <v>0.1496554208252078</v>
      </c>
      <c r="EC179">
        <f t="shared" si="311"/>
        <v>-6.0823291318583238E-2</v>
      </c>
      <c r="ED179">
        <f t="shared" si="311"/>
        <v>0.18301154636103845</v>
      </c>
      <c r="EE179">
        <f t="shared" si="311"/>
        <v>5.6643980063777383E-2</v>
      </c>
      <c r="EF179">
        <f t="shared" si="311"/>
        <v>-0.14208009462032953</v>
      </c>
      <c r="EG179">
        <f t="shared" si="311"/>
        <v>0.21706226858279973</v>
      </c>
      <c r="EH179" t="str">
        <f t="shared" si="311"/>
        <v/>
      </c>
      <c r="EI179">
        <f t="shared" si="311"/>
        <v>-5.1509527515635256E-2</v>
      </c>
      <c r="EJ179">
        <f t="shared" si="311"/>
        <v>3.0571022246561615E-2</v>
      </c>
      <c r="EK179" t="str">
        <f t="shared" si="311"/>
        <v/>
      </c>
      <c r="EL179">
        <f t="shared" si="311"/>
        <v>-0.10184873578615444</v>
      </c>
    </row>
    <row r="180" spans="3:142" x14ac:dyDescent="0.2">
      <c r="E180" s="10" cm="1">
        <f t="array" ref="E180">gavg(AF180,EL180)</f>
        <v>9.0199673215691306E-2</v>
      </c>
      <c r="F180" cm="1">
        <f t="array" ref="F180">lnstdev(AF180,EL180)</f>
        <v>0.91913558028880404</v>
      </c>
      <c r="AE180" s="49" t="s">
        <v>715</v>
      </c>
      <c r="AF180" t="str">
        <f t="shared" ref="AF180:BK180" si="312">IF(AF96="","",LN(AF96/(h_1IL*AF86^h_2IL*AF88^h_3IL*AF125^h_4IL*AF97^h_5IL)))</f>
        <v/>
      </c>
      <c r="AG180" t="str">
        <f t="shared" si="312"/>
        <v/>
      </c>
      <c r="AH180" t="str">
        <f t="shared" si="312"/>
        <v/>
      </c>
      <c r="AI180" t="str">
        <f t="shared" si="312"/>
        <v/>
      </c>
      <c r="AJ180" t="str">
        <f t="shared" si="312"/>
        <v/>
      </c>
      <c r="AK180" t="str">
        <f t="shared" si="312"/>
        <v/>
      </c>
      <c r="AL180">
        <f t="shared" si="312"/>
        <v>0.16278967915567838</v>
      </c>
      <c r="AM180">
        <f t="shared" si="312"/>
        <v>9.5029793711428459E-2</v>
      </c>
      <c r="AN180">
        <f t="shared" si="312"/>
        <v>-0.11036445167500301</v>
      </c>
      <c r="AO180">
        <f t="shared" si="312"/>
        <v>-4.911631706588581E-2</v>
      </c>
      <c r="AP180">
        <f t="shared" si="312"/>
        <v>0.15948031434032553</v>
      </c>
      <c r="AQ180">
        <f t="shared" si="312"/>
        <v>0.19749045637870638</v>
      </c>
      <c r="AR180">
        <f t="shared" si="312"/>
        <v>-0.21022320281664705</v>
      </c>
      <c r="AS180">
        <f t="shared" si="312"/>
        <v>-0.12757673107077591</v>
      </c>
      <c r="AT180">
        <f t="shared" si="312"/>
        <v>-0.11774872070944829</v>
      </c>
      <c r="AU180" t="str">
        <f t="shared" si="312"/>
        <v/>
      </c>
      <c r="AV180">
        <f t="shared" si="312"/>
        <v>-7.7714754244877018E-2</v>
      </c>
      <c r="AW180" t="str">
        <f t="shared" si="312"/>
        <v/>
      </c>
      <c r="AX180" t="str">
        <f t="shared" si="312"/>
        <v/>
      </c>
      <c r="AY180" t="str">
        <f t="shared" si="312"/>
        <v/>
      </c>
      <c r="AZ180" t="str">
        <f t="shared" si="312"/>
        <v/>
      </c>
      <c r="BA180" t="str">
        <f t="shared" si="312"/>
        <v/>
      </c>
      <c r="BB180">
        <f t="shared" si="312"/>
        <v>-0.14613406172153301</v>
      </c>
      <c r="BC180" t="str">
        <f t="shared" si="312"/>
        <v/>
      </c>
      <c r="BD180" t="str">
        <f t="shared" si="312"/>
        <v/>
      </c>
      <c r="BE180" t="str">
        <f t="shared" si="312"/>
        <v/>
      </c>
      <c r="BF180" t="str">
        <f t="shared" si="312"/>
        <v/>
      </c>
      <c r="BG180" t="str">
        <f t="shared" si="312"/>
        <v/>
      </c>
      <c r="BH180" t="str">
        <f t="shared" si="312"/>
        <v/>
      </c>
      <c r="BI180">
        <f t="shared" si="312"/>
        <v>0.17465740037546948</v>
      </c>
      <c r="BJ180">
        <f t="shared" si="312"/>
        <v>-3.0288664475505569E-2</v>
      </c>
      <c r="BK180">
        <f t="shared" si="312"/>
        <v>0.21256740480273492</v>
      </c>
      <c r="BL180" t="str">
        <f t="shared" ref="BL180:CQ180" si="313">IF(BL96="","",LN(BL96/(h_1IL*BL86^h_2IL*BL88^h_3IL*BL125^h_4IL*BL97^h_5IL)))</f>
        <v/>
      </c>
      <c r="BM180">
        <f t="shared" si="313"/>
        <v>-8.2154077539123627E-2</v>
      </c>
      <c r="BN180">
        <f t="shared" si="313"/>
        <v>0.1163355261163307</v>
      </c>
      <c r="BO180" t="str">
        <f t="shared" si="313"/>
        <v/>
      </c>
      <c r="BP180">
        <f t="shared" si="313"/>
        <v>-0.12145886537206232</v>
      </c>
      <c r="BQ180">
        <f t="shared" si="313"/>
        <v>0.31306757067740171</v>
      </c>
      <c r="BR180">
        <f t="shared" si="313"/>
        <v>-7.9576447646226192E-2</v>
      </c>
      <c r="BS180">
        <f t="shared" si="313"/>
        <v>9.6324118641783977E-3</v>
      </c>
      <c r="BT180">
        <f t="shared" si="313"/>
        <v>0.28416122683884809</v>
      </c>
      <c r="BU180">
        <f t="shared" si="313"/>
        <v>0.10234051410247053</v>
      </c>
      <c r="BV180">
        <f t="shared" si="313"/>
        <v>4.4614218041117662E-2</v>
      </c>
      <c r="BW180">
        <f t="shared" si="313"/>
        <v>-4.5485598199369592E-2</v>
      </c>
      <c r="BX180">
        <f t="shared" si="313"/>
        <v>-7.1963272945375467E-2</v>
      </c>
      <c r="BY180">
        <f t="shared" si="313"/>
        <v>-1.3603423794724789E-2</v>
      </c>
      <c r="BZ180">
        <f t="shared" si="313"/>
        <v>-0.17280351161502505</v>
      </c>
      <c r="CA180">
        <f t="shared" si="313"/>
        <v>0.15357529717881377</v>
      </c>
      <c r="CB180">
        <f t="shared" si="313"/>
        <v>-2.1365237455904264E-2</v>
      </c>
      <c r="CC180">
        <f t="shared" si="313"/>
        <v>3.9667964887616557E-2</v>
      </c>
      <c r="CD180">
        <f t="shared" si="313"/>
        <v>-6.8490545483235965E-2</v>
      </c>
      <c r="CE180">
        <f t="shared" si="313"/>
        <v>-0.11274674483471044</v>
      </c>
      <c r="CF180">
        <f t="shared" si="313"/>
        <v>-0.18305789005347989</v>
      </c>
      <c r="CG180" t="str">
        <f t="shared" si="313"/>
        <v/>
      </c>
      <c r="CH180" t="str">
        <f t="shared" si="313"/>
        <v/>
      </c>
      <c r="CI180" t="str">
        <f t="shared" si="313"/>
        <v/>
      </c>
      <c r="CJ180" t="str">
        <f t="shared" si="313"/>
        <v/>
      </c>
      <c r="CK180" t="str">
        <f t="shared" si="313"/>
        <v/>
      </c>
      <c r="CL180" t="str">
        <f t="shared" si="313"/>
        <v/>
      </c>
      <c r="CM180" t="str">
        <f t="shared" si="313"/>
        <v/>
      </c>
      <c r="CN180" t="str">
        <f t="shared" si="313"/>
        <v/>
      </c>
      <c r="CO180" t="str">
        <f t="shared" si="313"/>
        <v/>
      </c>
      <c r="CP180">
        <f t="shared" si="313"/>
        <v>-2.6064367105661061E-2</v>
      </c>
      <c r="CQ180">
        <f t="shared" si="313"/>
        <v>-8.8095371489150712E-2</v>
      </c>
      <c r="CR180">
        <f t="shared" ref="CR180:DW180" si="314">IF(CR96="","",LN(CR96/(h_1IL*CR86^h_2IL*CR88^h_3IL*CR125^h_4IL*CR97^h_5IL)))</f>
        <v>-0.35723101550608988</v>
      </c>
      <c r="CS180">
        <f t="shared" si="314"/>
        <v>0.12344571925364041</v>
      </c>
      <c r="CT180">
        <f t="shared" si="314"/>
        <v>-0.1113268470113498</v>
      </c>
      <c r="CU180">
        <f t="shared" si="314"/>
        <v>-0.20787422105248793</v>
      </c>
      <c r="CV180">
        <f t="shared" si="314"/>
        <v>-0.29147021733931383</v>
      </c>
      <c r="CW180">
        <f t="shared" si="314"/>
        <v>7.8390536332125269E-2</v>
      </c>
      <c r="CX180">
        <f t="shared" si="314"/>
        <v>0.27354035747256999</v>
      </c>
      <c r="CY180">
        <f t="shared" si="314"/>
        <v>-8.3045343425536752E-2</v>
      </c>
      <c r="CZ180">
        <f t="shared" si="314"/>
        <v>7.9830442360141876E-2</v>
      </c>
      <c r="DA180">
        <f t="shared" si="314"/>
        <v>5.6568243934273912E-2</v>
      </c>
      <c r="DB180">
        <f t="shared" si="314"/>
        <v>2.7213030799481088E-2</v>
      </c>
      <c r="DC180" t="str">
        <f t="shared" si="314"/>
        <v/>
      </c>
      <c r="DD180">
        <f t="shared" si="314"/>
        <v>-0.13598086727796349</v>
      </c>
      <c r="DE180">
        <f t="shared" si="314"/>
        <v>-0.10776871805061208</v>
      </c>
      <c r="DF180" t="str">
        <f t="shared" si="314"/>
        <v/>
      </c>
      <c r="DG180" t="str">
        <f t="shared" si="314"/>
        <v/>
      </c>
      <c r="DH180">
        <f t="shared" si="314"/>
        <v>0.12329297551732624</v>
      </c>
      <c r="DI180">
        <f t="shared" si="314"/>
        <v>1.0081373774424933E-2</v>
      </c>
      <c r="DJ180">
        <f t="shared" si="314"/>
        <v>0.19696451970815973</v>
      </c>
      <c r="DK180">
        <f t="shared" si="314"/>
        <v>2.1497692467889219E-2</v>
      </c>
      <c r="DL180">
        <f t="shared" si="314"/>
        <v>-6.3972578323804749E-2</v>
      </c>
      <c r="DM180">
        <f t="shared" si="314"/>
        <v>0.16745847130676153</v>
      </c>
      <c r="DN180">
        <f t="shared" si="314"/>
        <v>3.1879925732797146E-2</v>
      </c>
      <c r="DO180">
        <f t="shared" si="314"/>
        <v>-3.2333764516466849E-2</v>
      </c>
      <c r="DP180">
        <f t="shared" si="314"/>
        <v>-1.3707862506944685E-2</v>
      </c>
      <c r="DQ180">
        <f t="shared" si="314"/>
        <v>-0.15731314812402974</v>
      </c>
      <c r="DR180">
        <f t="shared" si="314"/>
        <v>0.12907663145719522</v>
      </c>
      <c r="DS180">
        <f t="shared" si="314"/>
        <v>9.0648100372721113E-2</v>
      </c>
      <c r="DT180" t="str">
        <f t="shared" si="314"/>
        <v/>
      </c>
      <c r="DU180" t="str">
        <f t="shared" si="314"/>
        <v/>
      </c>
      <c r="DV180">
        <f t="shared" si="314"/>
        <v>-0.10158477967735995</v>
      </c>
      <c r="DW180" t="str">
        <f t="shared" si="314"/>
        <v/>
      </c>
      <c r="DX180" t="str">
        <f t="shared" ref="DX180:EL180" si="315">IF(DX96="","",LN(DX96/(h_1IL*DX86^h_2IL*DX88^h_3IL*DX125^h_4IL*DX97^h_5IL)))</f>
        <v/>
      </c>
      <c r="DY180">
        <f t="shared" si="315"/>
        <v>-0.33409841982559413</v>
      </c>
      <c r="DZ180">
        <f t="shared" si="315"/>
        <v>-9.8727661848688253E-2</v>
      </c>
      <c r="EA180">
        <f t="shared" si="315"/>
        <v>3.3134493612849043E-2</v>
      </c>
      <c r="EB180">
        <f t="shared" si="315"/>
        <v>0.28533867658067597</v>
      </c>
      <c r="EC180">
        <f t="shared" si="315"/>
        <v>7.4662006336388462E-2</v>
      </c>
      <c r="ED180">
        <f t="shared" si="315"/>
        <v>3.6552318854633496E-2</v>
      </c>
      <c r="EE180">
        <f t="shared" si="315"/>
        <v>0.1093780310605398</v>
      </c>
      <c r="EF180">
        <f t="shared" si="315"/>
        <v>-5.4954757716610882E-2</v>
      </c>
      <c r="EG180">
        <f t="shared" si="315"/>
        <v>0.19809761653261904</v>
      </c>
      <c r="EH180" t="str">
        <f t="shared" si="315"/>
        <v/>
      </c>
      <c r="EI180">
        <f t="shared" si="315"/>
        <v>-5.1650314800607298E-2</v>
      </c>
      <c r="EJ180">
        <f t="shared" si="315"/>
        <v>-5.8818778049621089E-3</v>
      </c>
      <c r="EK180" t="str">
        <f t="shared" si="315"/>
        <v/>
      </c>
      <c r="EL180">
        <f t="shared" si="315"/>
        <v>-4.7768803354020381E-2</v>
      </c>
    </row>
    <row r="181" spans="3:142" x14ac:dyDescent="0.2">
      <c r="E181" s="10" cm="1">
        <f t="array" ref="E181">gavg(AF181,EL181)</f>
        <v>0.99999680630790322</v>
      </c>
      <c r="F181" cm="1">
        <f t="array" ref="F181">lnstdev(AF181,EL181)</f>
        <v>0.13505177513142078</v>
      </c>
      <c r="AE181" s="49" t="s">
        <v>716</v>
      </c>
      <c r="AF181" t="str">
        <f>IF(AF179="","",EXP(AF179))</f>
        <v/>
      </c>
      <c r="AG181" t="str">
        <f t="shared" ref="AG181:CR181" si="316">IF(AG179="","",EXP(AG179))</f>
        <v/>
      </c>
      <c r="AH181" t="str">
        <f t="shared" si="316"/>
        <v/>
      </c>
      <c r="AI181" t="str">
        <f t="shared" si="316"/>
        <v/>
      </c>
      <c r="AJ181" t="str">
        <f t="shared" si="316"/>
        <v/>
      </c>
      <c r="AK181" t="str">
        <f t="shared" si="316"/>
        <v/>
      </c>
      <c r="AL181">
        <f t="shared" si="316"/>
        <v>1.035262006176934</v>
      </c>
      <c r="AM181">
        <f t="shared" si="316"/>
        <v>1.0654227201704685</v>
      </c>
      <c r="AN181">
        <f t="shared" si="316"/>
        <v>0.92984064536674305</v>
      </c>
      <c r="AO181">
        <f t="shared" si="316"/>
        <v>0.76473369796051149</v>
      </c>
      <c r="AP181">
        <f t="shared" si="316"/>
        <v>0.97525099441545293</v>
      </c>
      <c r="AQ181">
        <f t="shared" si="316"/>
        <v>0.75284084440439636</v>
      </c>
      <c r="AR181">
        <f t="shared" si="316"/>
        <v>1.006349457121706</v>
      </c>
      <c r="AS181">
        <f t="shared" si="316"/>
        <v>1.1788049753714955</v>
      </c>
      <c r="AT181">
        <f t="shared" si="316"/>
        <v>1.3508977458995204</v>
      </c>
      <c r="AU181" t="str">
        <f t="shared" si="316"/>
        <v/>
      </c>
      <c r="AV181">
        <f t="shared" si="316"/>
        <v>0.92592169349011433</v>
      </c>
      <c r="AW181" t="str">
        <f t="shared" si="316"/>
        <v/>
      </c>
      <c r="AX181" t="str">
        <f t="shared" si="316"/>
        <v/>
      </c>
      <c r="AY181" t="str">
        <f t="shared" si="316"/>
        <v/>
      </c>
      <c r="AZ181" t="str">
        <f t="shared" si="316"/>
        <v/>
      </c>
      <c r="BA181" t="str">
        <f t="shared" si="316"/>
        <v/>
      </c>
      <c r="BB181">
        <f t="shared" si="316"/>
        <v>1.170320392014248</v>
      </c>
      <c r="BC181" t="str">
        <f t="shared" si="316"/>
        <v/>
      </c>
      <c r="BD181" t="str">
        <f t="shared" si="316"/>
        <v/>
      </c>
      <c r="BE181" t="str">
        <f t="shared" si="316"/>
        <v/>
      </c>
      <c r="BF181" t="str">
        <f t="shared" si="316"/>
        <v/>
      </c>
      <c r="BG181" t="str">
        <f t="shared" si="316"/>
        <v/>
      </c>
      <c r="BH181" t="str">
        <f t="shared" si="316"/>
        <v/>
      </c>
      <c r="BI181">
        <f t="shared" si="316"/>
        <v>0.90756067908529447</v>
      </c>
      <c r="BJ181">
        <f t="shared" si="316"/>
        <v>1.0719205070194409</v>
      </c>
      <c r="BK181">
        <f t="shared" si="316"/>
        <v>0.81519023547320302</v>
      </c>
      <c r="BL181" t="str">
        <f t="shared" si="316"/>
        <v/>
      </c>
      <c r="BM181">
        <f t="shared" si="316"/>
        <v>1.1234758151766808</v>
      </c>
      <c r="BN181">
        <f t="shared" si="316"/>
        <v>1.0311773329372806</v>
      </c>
      <c r="BO181" t="str">
        <f t="shared" si="316"/>
        <v/>
      </c>
      <c r="BP181">
        <f t="shared" si="316"/>
        <v>1.0535655467220688</v>
      </c>
      <c r="BQ181">
        <f t="shared" si="316"/>
        <v>1.3837015520086415</v>
      </c>
      <c r="BR181">
        <f t="shared" si="316"/>
        <v>1.0268105454264409</v>
      </c>
      <c r="BS181">
        <f t="shared" si="316"/>
        <v>1.0834448759530855</v>
      </c>
      <c r="BT181">
        <f t="shared" si="316"/>
        <v>1.2404385829413052</v>
      </c>
      <c r="BU181">
        <f t="shared" si="316"/>
        <v>1.053148210889131</v>
      </c>
      <c r="BV181">
        <f t="shared" si="316"/>
        <v>1.0439845919844122</v>
      </c>
      <c r="BW181">
        <f t="shared" si="316"/>
        <v>0.90017978577821733</v>
      </c>
      <c r="BX181">
        <f t="shared" si="316"/>
        <v>0.93202199908194749</v>
      </c>
      <c r="BY181">
        <f t="shared" si="316"/>
        <v>0.89436594826180926</v>
      </c>
      <c r="BZ181">
        <f t="shared" si="316"/>
        <v>1.0032383172291448</v>
      </c>
      <c r="CA181">
        <f t="shared" si="316"/>
        <v>1.0860861826818193</v>
      </c>
      <c r="CB181">
        <f t="shared" si="316"/>
        <v>1.0472571130704611</v>
      </c>
      <c r="CC181">
        <f t="shared" si="316"/>
        <v>0.84853087489738965</v>
      </c>
      <c r="CD181">
        <f t="shared" si="316"/>
        <v>0.85557572304714569</v>
      </c>
      <c r="CE181">
        <f t="shared" si="316"/>
        <v>0.73387496020122411</v>
      </c>
      <c r="CF181">
        <f t="shared" si="316"/>
        <v>0.72603952200563238</v>
      </c>
      <c r="CG181" t="str">
        <f t="shared" si="316"/>
        <v/>
      </c>
      <c r="CH181" t="str">
        <f t="shared" si="316"/>
        <v/>
      </c>
      <c r="CI181" t="str">
        <f t="shared" si="316"/>
        <v/>
      </c>
      <c r="CJ181" t="str">
        <f t="shared" si="316"/>
        <v/>
      </c>
      <c r="CK181" t="str">
        <f t="shared" si="316"/>
        <v/>
      </c>
      <c r="CL181" t="str">
        <f t="shared" si="316"/>
        <v/>
      </c>
      <c r="CM181" t="str">
        <f t="shared" si="316"/>
        <v/>
      </c>
      <c r="CN181" t="str">
        <f t="shared" si="316"/>
        <v/>
      </c>
      <c r="CO181" t="str">
        <f t="shared" si="316"/>
        <v/>
      </c>
      <c r="CP181">
        <f t="shared" si="316"/>
        <v>0.90129270021070573</v>
      </c>
      <c r="CQ181">
        <f t="shared" si="316"/>
        <v>1.015997634426038</v>
      </c>
      <c r="CR181">
        <f t="shared" si="316"/>
        <v>0.95634641847571944</v>
      </c>
      <c r="CS181">
        <f t="shared" ref="CS181:EL181" si="317">IF(CS179="","",EXP(CS179))</f>
        <v>1.1589389941718515</v>
      </c>
      <c r="CT181">
        <f t="shared" si="317"/>
        <v>0.91034916880932792</v>
      </c>
      <c r="CU181">
        <f t="shared" si="317"/>
        <v>1.0753354652903291</v>
      </c>
      <c r="CV181">
        <f t="shared" si="317"/>
        <v>0.8664922031347011</v>
      </c>
      <c r="CW181">
        <f t="shared" si="317"/>
        <v>1.0762756806540121</v>
      </c>
      <c r="CX181">
        <f t="shared" si="317"/>
        <v>1.2057087573799887</v>
      </c>
      <c r="CY181">
        <f t="shared" si="317"/>
        <v>0.93352092862653546</v>
      </c>
      <c r="CZ181">
        <f t="shared" si="317"/>
        <v>0.9791983302214754</v>
      </c>
      <c r="DA181">
        <f t="shared" si="317"/>
        <v>1.0088275688657835</v>
      </c>
      <c r="DB181">
        <f t="shared" si="317"/>
        <v>1.1878196316571188</v>
      </c>
      <c r="DC181" t="str">
        <f t="shared" si="317"/>
        <v/>
      </c>
      <c r="DD181">
        <f t="shared" si="317"/>
        <v>0.8562980275182277</v>
      </c>
      <c r="DE181">
        <f t="shared" si="317"/>
        <v>1.0459107518726083</v>
      </c>
      <c r="DF181" t="str">
        <f t="shared" si="317"/>
        <v/>
      </c>
      <c r="DG181" t="str">
        <f t="shared" si="317"/>
        <v/>
      </c>
      <c r="DH181">
        <f t="shared" si="317"/>
        <v>1.07233434930045</v>
      </c>
      <c r="DI181">
        <f t="shared" si="317"/>
        <v>1.1668611407874889</v>
      </c>
      <c r="DJ181">
        <f t="shared" si="317"/>
        <v>1.0295395964299019</v>
      </c>
      <c r="DK181">
        <f t="shared" si="317"/>
        <v>0.99342247785002091</v>
      </c>
      <c r="DL181">
        <f t="shared" si="317"/>
        <v>0.89744085623522263</v>
      </c>
      <c r="DM181">
        <f t="shared" si="317"/>
        <v>1.0307458775858085</v>
      </c>
      <c r="DN181">
        <f t="shared" si="317"/>
        <v>0.95998310429830802</v>
      </c>
      <c r="DO181">
        <f t="shared" si="317"/>
        <v>1.2050735817657823</v>
      </c>
      <c r="DP181">
        <f t="shared" si="317"/>
        <v>1.2061838223018497</v>
      </c>
      <c r="DQ181">
        <f t="shared" si="317"/>
        <v>0.88447985019822017</v>
      </c>
      <c r="DR181">
        <f t="shared" si="317"/>
        <v>0.94957379722730473</v>
      </c>
      <c r="DS181">
        <f t="shared" si="317"/>
        <v>0.94124136137695957</v>
      </c>
      <c r="DT181" t="str">
        <f t="shared" si="317"/>
        <v/>
      </c>
      <c r="DU181" t="str">
        <f t="shared" si="317"/>
        <v/>
      </c>
      <c r="DV181">
        <f t="shared" si="317"/>
        <v>1.0134448241406873</v>
      </c>
      <c r="DW181" t="str">
        <f t="shared" si="317"/>
        <v/>
      </c>
      <c r="DX181" t="str">
        <f t="shared" si="317"/>
        <v/>
      </c>
      <c r="DY181">
        <f t="shared" si="317"/>
        <v>0.89881663142509205</v>
      </c>
      <c r="DZ181">
        <f t="shared" si="317"/>
        <v>0.88402297404994556</v>
      </c>
      <c r="EA181">
        <f t="shared" si="317"/>
        <v>0.97345586585575627</v>
      </c>
      <c r="EB181">
        <f t="shared" si="317"/>
        <v>1.1614339678108394</v>
      </c>
      <c r="EC181">
        <f t="shared" si="317"/>
        <v>0.94098950610007559</v>
      </c>
      <c r="ED181">
        <f t="shared" si="317"/>
        <v>1.2008282731975723</v>
      </c>
      <c r="EE181">
        <f t="shared" si="317"/>
        <v>1.0582789749058552</v>
      </c>
      <c r="EF181">
        <f t="shared" si="317"/>
        <v>0.86755176747367113</v>
      </c>
      <c r="EG181">
        <f t="shared" si="317"/>
        <v>1.2424214635529216</v>
      </c>
      <c r="EH181" t="str">
        <f t="shared" si="317"/>
        <v/>
      </c>
      <c r="EI181">
        <f t="shared" si="317"/>
        <v>0.94979460073618249</v>
      </c>
      <c r="EJ181">
        <f t="shared" si="317"/>
        <v>1.0310431144467593</v>
      </c>
      <c r="EK181" t="str">
        <f t="shared" si="317"/>
        <v/>
      </c>
      <c r="EL181">
        <f t="shared" si="317"/>
        <v>0.9031661580556577</v>
      </c>
    </row>
    <row r="182" spans="3:142" ht="13.5" thickBot="1" x14ac:dyDescent="0.25">
      <c r="E182" s="10" cm="1">
        <f t="array" ref="E182">gavg(AF182,EL182)</f>
        <v>0.99999640393060518</v>
      </c>
      <c r="F182" cm="1">
        <f t="array" ref="F182">lnstdev(AF182,EL182)</f>
        <v>0.14329628026801569</v>
      </c>
      <c r="AE182" s="50" t="s">
        <v>717</v>
      </c>
      <c r="AF182" t="str">
        <f>IF(AF180="","",EXP(AF180))</f>
        <v/>
      </c>
      <c r="AG182" t="str">
        <f t="shared" ref="AG182:CR182" si="318">IF(AG180="","",EXP(AG180))</f>
        <v/>
      </c>
      <c r="AH182" t="str">
        <f t="shared" si="318"/>
        <v/>
      </c>
      <c r="AI182" t="str">
        <f t="shared" si="318"/>
        <v/>
      </c>
      <c r="AJ182" t="str">
        <f t="shared" si="318"/>
        <v/>
      </c>
      <c r="AK182" t="str">
        <f t="shared" si="318"/>
        <v/>
      </c>
      <c r="AL182">
        <f t="shared" si="318"/>
        <v>1.1767891603692944</v>
      </c>
      <c r="AM182">
        <f t="shared" si="318"/>
        <v>1.0996916185327716</v>
      </c>
      <c r="AN182">
        <f t="shared" si="318"/>
        <v>0.89550770653276257</v>
      </c>
      <c r="AO182">
        <f t="shared" si="318"/>
        <v>0.95207038122440013</v>
      </c>
      <c r="AP182">
        <f t="shared" si="318"/>
        <v>1.1729011726601455</v>
      </c>
      <c r="AQ182">
        <f t="shared" si="318"/>
        <v>1.2183414375248693</v>
      </c>
      <c r="AR182">
        <f t="shared" si="318"/>
        <v>0.81040334147330451</v>
      </c>
      <c r="AS182">
        <f t="shared" si="318"/>
        <v>0.88022587256919382</v>
      </c>
      <c r="AT182">
        <f t="shared" si="318"/>
        <v>0.88891939158728861</v>
      </c>
      <c r="AU182" t="str">
        <f t="shared" si="318"/>
        <v/>
      </c>
      <c r="AV182">
        <f t="shared" si="318"/>
        <v>0.92522830635335918</v>
      </c>
      <c r="AW182" t="str">
        <f t="shared" si="318"/>
        <v/>
      </c>
      <c r="AX182" t="str">
        <f t="shared" si="318"/>
        <v/>
      </c>
      <c r="AY182" t="str">
        <f t="shared" si="318"/>
        <v/>
      </c>
      <c r="AZ182" t="str">
        <f t="shared" si="318"/>
        <v/>
      </c>
      <c r="BA182" t="str">
        <f t="shared" si="318"/>
        <v/>
      </c>
      <c r="BB182">
        <f t="shared" si="318"/>
        <v>0.86404186048048748</v>
      </c>
      <c r="BC182" t="str">
        <f t="shared" si="318"/>
        <v/>
      </c>
      <c r="BD182" t="str">
        <f t="shared" si="318"/>
        <v/>
      </c>
      <c r="BE182" t="str">
        <f t="shared" si="318"/>
        <v/>
      </c>
      <c r="BF182" t="str">
        <f t="shared" si="318"/>
        <v/>
      </c>
      <c r="BG182" t="str">
        <f t="shared" si="318"/>
        <v/>
      </c>
      <c r="BH182" t="str">
        <f t="shared" si="318"/>
        <v/>
      </c>
      <c r="BI182">
        <f t="shared" si="318"/>
        <v>1.1908381660088063</v>
      </c>
      <c r="BJ182">
        <f t="shared" si="318"/>
        <v>0.97016544082591405</v>
      </c>
      <c r="BK182">
        <f t="shared" si="318"/>
        <v>1.2368494803508281</v>
      </c>
      <c r="BL182" t="str">
        <f t="shared" si="318"/>
        <v/>
      </c>
      <c r="BM182">
        <f t="shared" si="318"/>
        <v>0.9211300223149741</v>
      </c>
      <c r="BN182">
        <f t="shared" si="318"/>
        <v>1.1233727297961456</v>
      </c>
      <c r="BO182" t="str">
        <f t="shared" si="318"/>
        <v/>
      </c>
      <c r="BP182">
        <f t="shared" si="318"/>
        <v>0.88562748255659762</v>
      </c>
      <c r="BQ182">
        <f t="shared" si="318"/>
        <v>1.367613938505801</v>
      </c>
      <c r="BR182">
        <f t="shared" si="318"/>
        <v>0.92350741730161179</v>
      </c>
      <c r="BS182">
        <f t="shared" si="318"/>
        <v>1.009678952857316</v>
      </c>
      <c r="BT182">
        <f t="shared" si="318"/>
        <v>1.3286471270614746</v>
      </c>
      <c r="BU182">
        <f t="shared" si="318"/>
        <v>1.1077606156246631</v>
      </c>
      <c r="BV182">
        <f t="shared" si="318"/>
        <v>1.0456243990608378</v>
      </c>
      <c r="BW182">
        <f t="shared" si="318"/>
        <v>0.95553336387386267</v>
      </c>
      <c r="BX182">
        <f t="shared" si="318"/>
        <v>0.93056507209783934</v>
      </c>
      <c r="BY182">
        <f t="shared" si="318"/>
        <v>0.98648868463835349</v>
      </c>
      <c r="BZ182">
        <f t="shared" si="318"/>
        <v>0.84130290485435744</v>
      </c>
      <c r="CA182">
        <f t="shared" si="318"/>
        <v>1.1659955799944759</v>
      </c>
      <c r="CB182">
        <f t="shared" si="318"/>
        <v>0.97886138243123733</v>
      </c>
      <c r="CC182">
        <f t="shared" si="318"/>
        <v>1.040465245836957</v>
      </c>
      <c r="CD182">
        <f t="shared" si="318"/>
        <v>0.93380228871118054</v>
      </c>
      <c r="CE182">
        <f t="shared" si="318"/>
        <v>0.89337688377901814</v>
      </c>
      <c r="CF182">
        <f t="shared" si="318"/>
        <v>0.83271994813940264</v>
      </c>
      <c r="CG182" t="str">
        <f t="shared" si="318"/>
        <v/>
      </c>
      <c r="CH182" t="str">
        <f t="shared" si="318"/>
        <v/>
      </c>
      <c r="CI182" t="str">
        <f t="shared" si="318"/>
        <v/>
      </c>
      <c r="CJ182" t="str">
        <f t="shared" si="318"/>
        <v/>
      </c>
      <c r="CK182" t="str">
        <f t="shared" si="318"/>
        <v/>
      </c>
      <c r="CL182" t="str">
        <f t="shared" si="318"/>
        <v/>
      </c>
      <c r="CM182" t="str">
        <f t="shared" si="318"/>
        <v/>
      </c>
      <c r="CN182" t="str">
        <f t="shared" si="318"/>
        <v/>
      </c>
      <c r="CO182" t="str">
        <f t="shared" si="318"/>
        <v/>
      </c>
      <c r="CP182">
        <f t="shared" si="318"/>
        <v>0.97427237649743959</v>
      </c>
      <c r="CQ182">
        <f t="shared" si="318"/>
        <v>0.91567354340942686</v>
      </c>
      <c r="CR182">
        <f t="shared" si="318"/>
        <v>0.69961085810824797</v>
      </c>
      <c r="CS182">
        <f t="shared" ref="CS182:EL182" si="319">IF(CS180="","",EXP(CS180))</f>
        <v>1.1313885902581853</v>
      </c>
      <c r="CT182">
        <f t="shared" si="319"/>
        <v>0.89464628867108664</v>
      </c>
      <c r="CU182">
        <f t="shared" si="319"/>
        <v>0.81230920168314513</v>
      </c>
      <c r="CV182">
        <f t="shared" si="319"/>
        <v>0.74716426581140927</v>
      </c>
      <c r="CW182">
        <f t="shared" si="319"/>
        <v>1.081544958804183</v>
      </c>
      <c r="CX182">
        <f t="shared" si="319"/>
        <v>1.3146104124951656</v>
      </c>
      <c r="CY182">
        <f t="shared" si="319"/>
        <v>0.92030941629253182</v>
      </c>
      <c r="CZ182">
        <f t="shared" si="319"/>
        <v>1.0831034036477343</v>
      </c>
      <c r="DA182">
        <f t="shared" si="319"/>
        <v>1.0581988279874079</v>
      </c>
      <c r="DB182">
        <f t="shared" si="319"/>
        <v>1.027586687061594</v>
      </c>
      <c r="DC182" t="str">
        <f t="shared" si="319"/>
        <v/>
      </c>
      <c r="DD182">
        <f t="shared" si="319"/>
        <v>0.87285933250394621</v>
      </c>
      <c r="DE182">
        <f t="shared" si="319"/>
        <v>0.89783522550026418</v>
      </c>
      <c r="DF182" t="str">
        <f t="shared" si="319"/>
        <v/>
      </c>
      <c r="DG182" t="str">
        <f t="shared" si="319"/>
        <v/>
      </c>
      <c r="DH182">
        <f t="shared" si="319"/>
        <v>1.1312157909350291</v>
      </c>
      <c r="DI182">
        <f t="shared" si="319"/>
        <v>1.0101323620228331</v>
      </c>
      <c r="DJ182">
        <f t="shared" si="319"/>
        <v>1.2177008355584276</v>
      </c>
      <c r="DK182">
        <f t="shared" si="319"/>
        <v>1.0217304326588799</v>
      </c>
      <c r="DL182">
        <f t="shared" si="319"/>
        <v>0.93803072155276501</v>
      </c>
      <c r="DM182">
        <f t="shared" si="319"/>
        <v>1.1822961899496052</v>
      </c>
      <c r="DN182">
        <f t="shared" si="319"/>
        <v>1.0323935339653276</v>
      </c>
      <c r="DO182">
        <f t="shared" si="319"/>
        <v>0.96818338288734629</v>
      </c>
      <c r="DP182">
        <f t="shared" si="319"/>
        <v>0.98638566241035841</v>
      </c>
      <c r="DQ182">
        <f t="shared" si="319"/>
        <v>0.85443645174757854</v>
      </c>
      <c r="DR182">
        <f t="shared" si="319"/>
        <v>1.1377773103583428</v>
      </c>
      <c r="DS182">
        <f t="shared" si="319"/>
        <v>1.0948836483112045</v>
      </c>
      <c r="DT182" t="str">
        <f t="shared" si="319"/>
        <v/>
      </c>
      <c r="DU182" t="str">
        <f t="shared" si="319"/>
        <v/>
      </c>
      <c r="DV182">
        <f t="shared" si="319"/>
        <v>0.90340458574617133</v>
      </c>
      <c r="DW182" t="str">
        <f t="shared" si="319"/>
        <v/>
      </c>
      <c r="DX182" t="str">
        <f t="shared" si="319"/>
        <v/>
      </c>
      <c r="DY182">
        <f t="shared" si="319"/>
        <v>0.71598331180674579</v>
      </c>
      <c r="DZ182">
        <f t="shared" si="319"/>
        <v>0.90598940990985877</v>
      </c>
      <c r="EA182">
        <f t="shared" si="319"/>
        <v>1.0336895545355151</v>
      </c>
      <c r="EB182">
        <f t="shared" si="319"/>
        <v>1.3302124636499475</v>
      </c>
      <c r="EC182">
        <f t="shared" si="319"/>
        <v>1.0775198944331792</v>
      </c>
      <c r="ED182">
        <f t="shared" si="319"/>
        <v>1.0372285692089251</v>
      </c>
      <c r="EE182">
        <f t="shared" si="319"/>
        <v>1.1155839960399854</v>
      </c>
      <c r="EF182">
        <f t="shared" si="319"/>
        <v>0.94652797007144907</v>
      </c>
      <c r="EG182">
        <f t="shared" si="319"/>
        <v>1.2190813905118483</v>
      </c>
      <c r="EH182" t="str">
        <f t="shared" si="319"/>
        <v/>
      </c>
      <c r="EI182">
        <f t="shared" si="319"/>
        <v>0.94966089114558971</v>
      </c>
      <c r="EJ182">
        <f t="shared" si="319"/>
        <v>0.99413538657272271</v>
      </c>
      <c r="EK182" t="str">
        <f t="shared" si="319"/>
        <v/>
      </c>
      <c r="EL182">
        <f t="shared" si="319"/>
        <v>0.9533541738876109</v>
      </c>
    </row>
    <row r="183" spans="3:142" x14ac:dyDescent="0.2">
      <c r="E183" s="10" cm="1">
        <f t="array" ref="E183">gavg(AF183,EL183)</f>
        <v>0.2218457828837154</v>
      </c>
      <c r="F183" cm="1">
        <f t="array" ref="F183">lnstdev(AF183,EL183)</f>
        <v>0.8957740496635056</v>
      </c>
      <c r="AE183" s="5" t="str">
        <f>"ln("&amp;AE150&amp;")"</f>
        <v>ln(epsCF_e_ratio)</v>
      </c>
      <c r="AF183" t="str">
        <f t="shared" ref="AF183:BK183" si="320">IF(AF118="","",LN(AF150))</f>
        <v/>
      </c>
      <c r="AG183" t="str">
        <f t="shared" si="320"/>
        <v/>
      </c>
      <c r="AH183" t="str">
        <f t="shared" si="320"/>
        <v/>
      </c>
      <c r="AI183" t="str">
        <f t="shared" si="320"/>
        <v/>
      </c>
      <c r="AJ183" t="str">
        <f t="shared" si="320"/>
        <v/>
      </c>
      <c r="AK183" t="str">
        <f t="shared" si="320"/>
        <v/>
      </c>
      <c r="AL183">
        <f t="shared" si="320"/>
        <v>-2.1169735315503938E-2</v>
      </c>
      <c r="AM183">
        <f t="shared" si="320"/>
        <v>-1.0934828192235414E-2</v>
      </c>
      <c r="AN183">
        <f t="shared" si="320"/>
        <v>-0.21540847831864302</v>
      </c>
      <c r="AO183">
        <f t="shared" si="320"/>
        <v>-0.46579921981867123</v>
      </c>
      <c r="AP183">
        <f t="shared" si="320"/>
        <v>-0.13202642583281723</v>
      </c>
      <c r="AQ183">
        <f t="shared" si="320"/>
        <v>-0.21615620012938469</v>
      </c>
      <c r="AR183">
        <f t="shared" si="320"/>
        <v>-0.43364006145959533</v>
      </c>
      <c r="AS183">
        <f t="shared" si="320"/>
        <v>-0.39267413990005062</v>
      </c>
      <c r="AT183">
        <f t="shared" si="320"/>
        <v>-0.23763901352318947</v>
      </c>
      <c r="AU183" t="str">
        <f t="shared" si="320"/>
        <v/>
      </c>
      <c r="AV183">
        <f t="shared" si="320"/>
        <v>-0.69397945182156684</v>
      </c>
      <c r="AW183" t="str">
        <f t="shared" si="320"/>
        <v/>
      </c>
      <c r="AX183" t="str">
        <f t="shared" si="320"/>
        <v/>
      </c>
      <c r="AY183" t="str">
        <f t="shared" si="320"/>
        <v/>
      </c>
      <c r="AZ183" t="str">
        <f t="shared" si="320"/>
        <v/>
      </c>
      <c r="BA183" t="str">
        <f t="shared" si="320"/>
        <v/>
      </c>
      <c r="BB183">
        <f t="shared" si="320"/>
        <v>-0.67334078705390576</v>
      </c>
      <c r="BC183" t="str">
        <f t="shared" si="320"/>
        <v/>
      </c>
      <c r="BD183" t="str">
        <f t="shared" si="320"/>
        <v/>
      </c>
      <c r="BE183" t="str">
        <f t="shared" si="320"/>
        <v/>
      </c>
      <c r="BF183" t="str">
        <f t="shared" si="320"/>
        <v/>
      </c>
      <c r="BG183" t="str">
        <f t="shared" si="320"/>
        <v/>
      </c>
      <c r="BH183" t="str">
        <f t="shared" si="320"/>
        <v/>
      </c>
      <c r="BI183">
        <f t="shared" si="320"/>
        <v>-2.7316859966579217E-3</v>
      </c>
      <c r="BJ183">
        <f t="shared" si="320"/>
        <v>-0.27158473245752135</v>
      </c>
      <c r="BK183">
        <f t="shared" si="320"/>
        <v>-0.14201671974830743</v>
      </c>
      <c r="BL183" t="str">
        <f t="shared" ref="BL183:CQ183" si="321">IF(BL118="","",LN(BL150))</f>
        <v/>
      </c>
      <c r="BM183">
        <f t="shared" si="321"/>
        <v>-0.25589769792561112</v>
      </c>
      <c r="BN183">
        <f t="shared" si="321"/>
        <v>-0.52735087737090314</v>
      </c>
      <c r="BO183" t="str">
        <f t="shared" si="321"/>
        <v/>
      </c>
      <c r="BP183">
        <f t="shared" si="321"/>
        <v>-0.15380483146044183</v>
      </c>
      <c r="BQ183">
        <f t="shared" si="321"/>
        <v>2.027412951845687E-2</v>
      </c>
      <c r="BR183">
        <f t="shared" si="321"/>
        <v>-0.35379489844420353</v>
      </c>
      <c r="BS183">
        <f t="shared" si="321"/>
        <v>-0.36846460319398516</v>
      </c>
      <c r="BT183">
        <f t="shared" si="321"/>
        <v>-0.26504659228252653</v>
      </c>
      <c r="BU183">
        <f t="shared" si="321"/>
        <v>-0.46415036960922579</v>
      </c>
      <c r="BV183">
        <f t="shared" si="321"/>
        <v>-0.4838631869285609</v>
      </c>
      <c r="BW183">
        <f t="shared" si="321"/>
        <v>-0.70816145790968354</v>
      </c>
      <c r="BX183">
        <f t="shared" si="321"/>
        <v>-0.70226623613867656</v>
      </c>
      <c r="BY183">
        <f t="shared" si="321"/>
        <v>-0.75358832912435147</v>
      </c>
      <c r="BZ183">
        <f t="shared" si="321"/>
        <v>-0.21310250816390483</v>
      </c>
      <c r="CA183">
        <f t="shared" si="321"/>
        <v>-0.43350263329618416</v>
      </c>
      <c r="CB183">
        <f t="shared" si="321"/>
        <v>-0.47296898444955104</v>
      </c>
      <c r="CC183">
        <f t="shared" si="321"/>
        <v>-0.81013693016819799</v>
      </c>
      <c r="CD183">
        <f t="shared" si="321"/>
        <v>-0.81880486444845568</v>
      </c>
      <c r="CE183">
        <f t="shared" si="321"/>
        <v>-0.99731959038203311</v>
      </c>
      <c r="CF183">
        <f t="shared" si="321"/>
        <v>-1.0259162821370631</v>
      </c>
      <c r="CG183" t="str">
        <f t="shared" si="321"/>
        <v/>
      </c>
      <c r="CH183" t="str">
        <f t="shared" si="321"/>
        <v/>
      </c>
      <c r="CI183" t="str">
        <f t="shared" si="321"/>
        <v/>
      </c>
      <c r="CJ183" t="str">
        <f t="shared" si="321"/>
        <v/>
      </c>
      <c r="CK183" t="str">
        <f t="shared" si="321"/>
        <v/>
      </c>
      <c r="CL183" t="str">
        <f t="shared" si="321"/>
        <v/>
      </c>
      <c r="CM183" t="str">
        <f t="shared" si="321"/>
        <v/>
      </c>
      <c r="CN183" t="str">
        <f t="shared" si="321"/>
        <v/>
      </c>
      <c r="CO183" t="str">
        <f t="shared" si="321"/>
        <v/>
      </c>
      <c r="CP183">
        <f t="shared" si="321"/>
        <v>-0.18071433740571896</v>
      </c>
      <c r="CQ183">
        <f t="shared" si="321"/>
        <v>-0.15093747743397889</v>
      </c>
      <c r="CR183">
        <f t="shared" ref="CR183:DW183" si="322">IF(CR118="","",LN(CR150))</f>
        <v>-0.293373113001207</v>
      </c>
      <c r="CS183">
        <f t="shared" si="322"/>
        <v>-0.16942069354292499</v>
      </c>
      <c r="CT183">
        <f t="shared" si="322"/>
        <v>-0.40240510926975442</v>
      </c>
      <c r="CU183">
        <f t="shared" si="322"/>
        <v>-0.29559191554971592</v>
      </c>
      <c r="CV183">
        <f t="shared" si="322"/>
        <v>-0.56783811233766845</v>
      </c>
      <c r="CW183">
        <f t="shared" si="322"/>
        <v>-0.3407089807260138</v>
      </c>
      <c r="CX183">
        <f t="shared" si="322"/>
        <v>-0.22548054584054672</v>
      </c>
      <c r="CY183">
        <f t="shared" si="322"/>
        <v>-0.52790966693660701</v>
      </c>
      <c r="CZ183">
        <f t="shared" si="322"/>
        <v>-0.48586172166569108</v>
      </c>
      <c r="DA183">
        <f t="shared" si="322"/>
        <v>-0.49558248340728767</v>
      </c>
      <c r="DB183">
        <f t="shared" si="322"/>
        <v>-0.33158537560924778</v>
      </c>
      <c r="DC183" t="str">
        <f t="shared" si="322"/>
        <v/>
      </c>
      <c r="DD183">
        <f t="shared" si="322"/>
        <v>-0.65930482343346242</v>
      </c>
      <c r="DE183">
        <f t="shared" si="322"/>
        <v>8.2035054117445078E-2</v>
      </c>
      <c r="DF183" t="str">
        <f t="shared" si="322"/>
        <v/>
      </c>
      <c r="DG183" t="str">
        <f t="shared" si="322"/>
        <v/>
      </c>
      <c r="DH183">
        <f t="shared" si="322"/>
        <v>-0.50984042713733535</v>
      </c>
      <c r="DI183">
        <f t="shared" si="322"/>
        <v>-0.4303936775274394</v>
      </c>
      <c r="DJ183">
        <f t="shared" si="322"/>
        <v>-0.58654425677259059</v>
      </c>
      <c r="DK183">
        <f t="shared" si="322"/>
        <v>-0.62299013248301927</v>
      </c>
      <c r="DL183">
        <f t="shared" si="322"/>
        <v>-0.74674012400807532</v>
      </c>
      <c r="DM183">
        <f t="shared" si="322"/>
        <v>0.30182768165199553</v>
      </c>
      <c r="DN183">
        <f t="shared" si="322"/>
        <v>0.11022532140752854</v>
      </c>
      <c r="DO183">
        <f t="shared" si="322"/>
        <v>0.4102065137951682</v>
      </c>
      <c r="DP183">
        <f t="shared" si="322"/>
        <v>0.2418316368947456</v>
      </c>
      <c r="DQ183">
        <f t="shared" si="322"/>
        <v>0.18156094388961916</v>
      </c>
      <c r="DR183">
        <f t="shared" si="322"/>
        <v>-0.68440355108402562</v>
      </c>
      <c r="DS183">
        <f t="shared" si="322"/>
        <v>-0.69547046634142129</v>
      </c>
      <c r="DT183" t="str">
        <f t="shared" si="322"/>
        <v/>
      </c>
      <c r="DU183" t="str">
        <f t="shared" si="322"/>
        <v/>
      </c>
      <c r="DV183">
        <f t="shared" si="322"/>
        <v>0.51839303081070176</v>
      </c>
      <c r="DW183" t="str">
        <f t="shared" si="322"/>
        <v/>
      </c>
      <c r="DX183" t="str">
        <f t="shared" ref="DX183:EL183" si="323">IF(DX118="","",LN(DX150))</f>
        <v/>
      </c>
      <c r="DY183">
        <f t="shared" si="323"/>
        <v>0.90663953358750327</v>
      </c>
      <c r="DZ183">
        <f t="shared" si="323"/>
        <v>0.38637927862950328</v>
      </c>
      <c r="EA183">
        <f t="shared" si="323"/>
        <v>0.24878216701357464</v>
      </c>
      <c r="EB183">
        <f t="shared" si="323"/>
        <v>0.45083133492788169</v>
      </c>
      <c r="EC183">
        <f t="shared" si="323"/>
        <v>0.10699019688185819</v>
      </c>
      <c r="ED183">
        <f t="shared" si="323"/>
        <v>0.36042101422783757</v>
      </c>
      <c r="EE183">
        <f t="shared" si="323"/>
        <v>0.22707774293710523</v>
      </c>
      <c r="EF183">
        <f t="shared" si="323"/>
        <v>-6.4891728672199236E-2</v>
      </c>
      <c r="EG183">
        <f t="shared" si="323"/>
        <v>0.19365511794199231</v>
      </c>
      <c r="EH183" t="str">
        <f t="shared" si="323"/>
        <v/>
      </c>
      <c r="EI183">
        <f t="shared" si="323"/>
        <v>-0.13498454936585483</v>
      </c>
      <c r="EJ183">
        <f t="shared" si="323"/>
        <v>-4.5060437682075787E-2</v>
      </c>
      <c r="EK183" t="str">
        <f t="shared" si="323"/>
        <v/>
      </c>
      <c r="EL183">
        <f t="shared" si="323"/>
        <v>-0.1209829173316007</v>
      </c>
    </row>
    <row r="184" spans="3:142" x14ac:dyDescent="0.2">
      <c r="E184" s="10" t="str" cm="1">
        <f t="array" ref="E184">gavg(AF184,EL184)</f>
        <v>no data</v>
      </c>
      <c r="F184" t="str" cm="1">
        <f t="array" ref="F184">lnstdev(AF184,EL184)</f>
        <v>insuff data</v>
      </c>
      <c r="AE184" s="5" t="str">
        <f>"ln("&amp;AE151&amp;")"</f>
        <v>ln(epsIL_e_ratio)</v>
      </c>
      <c r="AF184" t="str">
        <f t="shared" ref="AF184:BK184" si="324">IF(AF119="","",LN(AF151))</f>
        <v/>
      </c>
      <c r="AG184" t="str">
        <f t="shared" si="324"/>
        <v/>
      </c>
      <c r="AH184" t="str">
        <f t="shared" si="324"/>
        <v/>
      </c>
      <c r="AI184" t="str">
        <f t="shared" si="324"/>
        <v/>
      </c>
      <c r="AJ184" t="str">
        <f t="shared" si="324"/>
        <v/>
      </c>
      <c r="AK184" t="str">
        <f t="shared" si="324"/>
        <v/>
      </c>
      <c r="AL184">
        <f t="shared" si="324"/>
        <v>-4.0290670938720241E-2</v>
      </c>
      <c r="AM184">
        <f t="shared" si="324"/>
        <v>-0.11284744078214888</v>
      </c>
      <c r="AN184">
        <f t="shared" si="324"/>
        <v>-0.30475568133923536</v>
      </c>
      <c r="AO184">
        <f t="shared" si="324"/>
        <v>-0.27697071343470575</v>
      </c>
      <c r="AP184">
        <f t="shared" si="324"/>
        <v>-0.31277342845645068</v>
      </c>
      <c r="AQ184">
        <f t="shared" si="324"/>
        <v>-0.33144630049437801</v>
      </c>
      <c r="AR184">
        <f t="shared" si="324"/>
        <v>-0.83842066031521789</v>
      </c>
      <c r="AS184">
        <f t="shared" si="324"/>
        <v>-0.79497770536479151</v>
      </c>
      <c r="AT184">
        <f t="shared" si="324"/>
        <v>-0.82258536764513857</v>
      </c>
      <c r="AU184" t="str">
        <f t="shared" si="324"/>
        <v/>
      </c>
      <c r="AV184">
        <f t="shared" si="324"/>
        <v>-0.85484523629121756</v>
      </c>
      <c r="AW184" t="str">
        <f t="shared" si="324"/>
        <v/>
      </c>
      <c r="AX184" t="str">
        <f t="shared" si="324"/>
        <v/>
      </c>
      <c r="AY184" t="str">
        <f t="shared" si="324"/>
        <v/>
      </c>
      <c r="AZ184" t="str">
        <f t="shared" si="324"/>
        <v/>
      </c>
      <c r="BA184" t="str">
        <f t="shared" si="324"/>
        <v/>
      </c>
      <c r="BB184">
        <f t="shared" si="324"/>
        <v>-1.0627604130660935</v>
      </c>
      <c r="BC184" t="str">
        <f t="shared" si="324"/>
        <v/>
      </c>
      <c r="BD184" t="str">
        <f t="shared" si="324"/>
        <v/>
      </c>
      <c r="BE184" t="str">
        <f t="shared" si="324"/>
        <v/>
      </c>
      <c r="BF184" t="str">
        <f t="shared" si="324"/>
        <v/>
      </c>
      <c r="BG184" t="str">
        <f t="shared" si="324"/>
        <v/>
      </c>
      <c r="BH184" t="str">
        <f t="shared" si="324"/>
        <v/>
      </c>
      <c r="BI184">
        <f t="shared" si="324"/>
        <v>-0.42196196391696317</v>
      </c>
      <c r="BJ184">
        <f t="shared" si="324"/>
        <v>-0.634787586500971</v>
      </c>
      <c r="BK184">
        <f t="shared" si="324"/>
        <v>-0.31649032301337476</v>
      </c>
      <c r="BL184" t="str">
        <f t="shared" ref="BL184:CQ184" si="325">IF(BL119="","",LN(BL151))</f>
        <v/>
      </c>
      <c r="BM184">
        <f t="shared" si="325"/>
        <v>-0.8368482269656945</v>
      </c>
      <c r="BN184">
        <f t="shared" si="325"/>
        <v>-0.81143590736096094</v>
      </c>
      <c r="BO184" t="str">
        <f t="shared" si="325"/>
        <v/>
      </c>
      <c r="BP184">
        <f t="shared" si="325"/>
        <v>-0.87773122556730465</v>
      </c>
      <c r="BQ184">
        <f t="shared" si="325"/>
        <v>-0.50686641131620702</v>
      </c>
      <c r="BR184">
        <f t="shared" si="325"/>
        <v>-0.9439525907599785</v>
      </c>
      <c r="BS184">
        <f t="shared" si="325"/>
        <v>-0.89201799858361142</v>
      </c>
      <c r="BT184">
        <f t="shared" si="325"/>
        <v>-0.63845579911007511</v>
      </c>
      <c r="BU184">
        <f t="shared" si="325"/>
        <v>-0.85577505506433882</v>
      </c>
      <c r="BV184">
        <f t="shared" si="325"/>
        <v>-0.93942779445254132</v>
      </c>
      <c r="BW184">
        <f t="shared" si="325"/>
        <v>-1.0680850568989468</v>
      </c>
      <c r="BX184">
        <f t="shared" si="325"/>
        <v>-1.1124420743023771</v>
      </c>
      <c r="BY184">
        <f t="shared" si="325"/>
        <v>-1.0795904699249912</v>
      </c>
      <c r="BZ184">
        <f t="shared" si="325"/>
        <v>-0.93704342328946932</v>
      </c>
      <c r="CA184">
        <f t="shared" si="325"/>
        <v>-0.80461907741151295</v>
      </c>
      <c r="CB184">
        <f t="shared" si="325"/>
        <v>-0.97314132348246751</v>
      </c>
      <c r="CC184">
        <f t="shared" si="325"/>
        <v>-1.0219273673102318</v>
      </c>
      <c r="CD184">
        <f t="shared" si="325"/>
        <v>-1.1504383643280138</v>
      </c>
      <c r="CE184">
        <f t="shared" si="325"/>
        <v>-1.2054701774966394</v>
      </c>
      <c r="CF184">
        <f t="shared" si="325"/>
        <v>-1.2987654229409995</v>
      </c>
      <c r="CG184" t="str">
        <f t="shared" si="325"/>
        <v/>
      </c>
      <c r="CH184" t="str">
        <f t="shared" si="325"/>
        <v/>
      </c>
      <c r="CI184" t="str">
        <f t="shared" si="325"/>
        <v/>
      </c>
      <c r="CJ184" t="str">
        <f t="shared" si="325"/>
        <v/>
      </c>
      <c r="CK184" t="str">
        <f t="shared" si="325"/>
        <v/>
      </c>
      <c r="CL184" t="str">
        <f t="shared" si="325"/>
        <v/>
      </c>
      <c r="CM184" t="str">
        <f t="shared" si="325"/>
        <v/>
      </c>
      <c r="CN184" t="str">
        <f t="shared" si="325"/>
        <v/>
      </c>
      <c r="CO184" t="str">
        <f t="shared" si="325"/>
        <v/>
      </c>
      <c r="CP184">
        <f t="shared" si="325"/>
        <v>-0.65601814636797906</v>
      </c>
      <c r="CQ184">
        <f t="shared" si="325"/>
        <v>-0.76989734723205727</v>
      </c>
      <c r="CR184">
        <f t="shared" ref="CR184:DW184" si="326">IF(CR119="","",LN(CR151))</f>
        <v>-1.063429457337294</v>
      </c>
      <c r="CS184">
        <f t="shared" si="326"/>
        <v>-0.61593625754191894</v>
      </c>
      <c r="CT184">
        <f t="shared" si="326"/>
        <v>-0.86242773602398737</v>
      </c>
      <c r="CU184">
        <f t="shared" si="326"/>
        <v>-0.97793305045295076</v>
      </c>
      <c r="CV184">
        <f t="shared" si="326"/>
        <v>-1.0753930527962992</v>
      </c>
      <c r="CW184">
        <f t="shared" si="326"/>
        <v>-0.71859685416951979</v>
      </c>
      <c r="CX184">
        <f t="shared" si="326"/>
        <v>-0.53110041767154881</v>
      </c>
      <c r="CY184">
        <f t="shared" si="326"/>
        <v>-0.89483053070081542</v>
      </c>
      <c r="CZ184">
        <f t="shared" si="326"/>
        <v>-0.74972888857683007</v>
      </c>
      <c r="DA184">
        <f t="shared" si="326"/>
        <v>-0.79019129138965438</v>
      </c>
      <c r="DB184">
        <f t="shared" si="326"/>
        <v>-0.85803399841185435</v>
      </c>
      <c r="DC184" t="str">
        <f t="shared" si="326"/>
        <v/>
      </c>
      <c r="DD184">
        <f t="shared" si="326"/>
        <v>-1.0186758157908549</v>
      </c>
      <c r="DE184">
        <f t="shared" si="326"/>
        <v>-0.67705523935439837</v>
      </c>
      <c r="DF184" t="str">
        <f t="shared" si="326"/>
        <v/>
      </c>
      <c r="DG184" t="str">
        <f t="shared" si="326"/>
        <v/>
      </c>
      <c r="DH184">
        <f t="shared" si="326"/>
        <v>-0.76810605403036469</v>
      </c>
      <c r="DI184">
        <f t="shared" si="326"/>
        <v>-0.9145461479023469</v>
      </c>
      <c r="DJ184">
        <f t="shared" si="326"/>
        <v>-0.7351261121247864</v>
      </c>
      <c r="DK184">
        <f t="shared" si="326"/>
        <v>-0.96884886137295556</v>
      </c>
      <c r="DL184">
        <f t="shared" si="326"/>
        <v>-1.0770216562564943</v>
      </c>
      <c r="DM184">
        <f t="shared" si="326"/>
        <v>-0.23716071406115577</v>
      </c>
      <c r="DN184">
        <f t="shared" si="326"/>
        <v>-0.52175762846062368</v>
      </c>
      <c r="DO184">
        <f t="shared" si="326"/>
        <v>-0.5144941758601882</v>
      </c>
      <c r="DP184">
        <f t="shared" si="326"/>
        <v>-0.64040547940887838</v>
      </c>
      <c r="DQ184">
        <f t="shared" si="326"/>
        <v>-0.69611772825524376</v>
      </c>
      <c r="DR184">
        <f t="shared" si="326"/>
        <v>-0.68627052113552811</v>
      </c>
      <c r="DS184">
        <f t="shared" si="326"/>
        <v>-0.78174665330332505</v>
      </c>
      <c r="DT184" t="str">
        <f t="shared" si="326"/>
        <v/>
      </c>
      <c r="DU184" t="str">
        <f t="shared" si="326"/>
        <v/>
      </c>
      <c r="DV184">
        <f t="shared" si="326"/>
        <v>-0.5482138983545467</v>
      </c>
      <c r="DW184" t="str">
        <f t="shared" si="326"/>
        <v/>
      </c>
      <c r="DX184" t="str">
        <f t="shared" ref="DX184:EL184" si="327">IF(DX119="","",LN(DX151))</f>
        <v/>
      </c>
      <c r="DY184">
        <f t="shared" si="327"/>
        <v>-0.34029819665316247</v>
      </c>
      <c r="DZ184">
        <f t="shared" si="327"/>
        <v>-0.55210302988322335</v>
      </c>
      <c r="EA184">
        <f t="shared" si="327"/>
        <v>-0.5047972645182357</v>
      </c>
      <c r="EB184">
        <f t="shared" si="327"/>
        <v>-0.31741290874827782</v>
      </c>
      <c r="EC184">
        <f t="shared" si="327"/>
        <v>-0.56461010737927764</v>
      </c>
      <c r="ED184">
        <f t="shared" si="327"/>
        <v>-0.64455731313292441</v>
      </c>
      <c r="EE184">
        <f t="shared" si="327"/>
        <v>-0.59108397615007602</v>
      </c>
      <c r="EF184">
        <f t="shared" si="327"/>
        <v>-0.78800136756040906</v>
      </c>
      <c r="EG184">
        <f t="shared" si="327"/>
        <v>-0.55111183750144044</v>
      </c>
      <c r="EH184" t="str">
        <f t="shared" si="327"/>
        <v/>
      </c>
      <c r="EI184">
        <f t="shared" si="327"/>
        <v>-0.85591792280736456</v>
      </c>
      <c r="EJ184">
        <f t="shared" si="327"/>
        <v>-0.81420474204961701</v>
      </c>
      <c r="EK184" t="str">
        <f t="shared" si="327"/>
        <v/>
      </c>
      <c r="EL184">
        <f t="shared" si="327"/>
        <v>-0.82302439210420753</v>
      </c>
    </row>
    <row r="185" spans="3:142" x14ac:dyDescent="0.2">
      <c r="E185" s="10" cm="1">
        <f t="array" ref="E185">gavg(AF185,EL185)</f>
        <v>0.1558504580090711</v>
      </c>
      <c r="F185" cm="1">
        <f t="array" ref="F185">lnstdev(AF185,EL185)</f>
        <v>1.3753557704899657</v>
      </c>
      <c r="AE185" t="s">
        <v>648</v>
      </c>
      <c r="AF185" t="str">
        <f t="shared" ref="AF185:BK185" si="328">IF(AF118="","",LN(AF154))</f>
        <v/>
      </c>
      <c r="AG185" t="str">
        <f t="shared" si="328"/>
        <v/>
      </c>
      <c r="AH185" t="str">
        <f t="shared" si="328"/>
        <v/>
      </c>
      <c r="AI185" t="str">
        <f t="shared" si="328"/>
        <v/>
      </c>
      <c r="AJ185" t="str">
        <f t="shared" si="328"/>
        <v/>
      </c>
      <c r="AK185" t="str">
        <f t="shared" si="328"/>
        <v/>
      </c>
      <c r="AL185">
        <f t="shared" si="328"/>
        <v>8.2055685858475086E-2</v>
      </c>
      <c r="AM185">
        <f t="shared" si="328"/>
        <v>0.13579537166739322</v>
      </c>
      <c r="AN185">
        <f t="shared" si="328"/>
        <v>1.740059452663905E-3</v>
      </c>
      <c r="AO185">
        <f t="shared" si="328"/>
        <v>-0.19352999554466738</v>
      </c>
      <c r="AP185">
        <f t="shared" si="328"/>
        <v>-0.13202642583281723</v>
      </c>
      <c r="AQ185">
        <f t="shared" si="328"/>
        <v>-0.21615620012938469</v>
      </c>
      <c r="AR185">
        <f t="shared" si="328"/>
        <v>-0.43364006145959533</v>
      </c>
      <c r="AS185">
        <f t="shared" si="328"/>
        <v>-0.39267413990005062</v>
      </c>
      <c r="AT185">
        <f t="shared" si="328"/>
        <v>-0.23763901352318947</v>
      </c>
      <c r="AU185" t="str">
        <f t="shared" si="328"/>
        <v/>
      </c>
      <c r="AV185">
        <f t="shared" si="328"/>
        <v>-0.69397945182156684</v>
      </c>
      <c r="AW185" t="str">
        <f t="shared" si="328"/>
        <v/>
      </c>
      <c r="AX185" t="str">
        <f t="shared" si="328"/>
        <v/>
      </c>
      <c r="AY185" t="str">
        <f t="shared" si="328"/>
        <v/>
      </c>
      <c r="AZ185" t="str">
        <f t="shared" si="328"/>
        <v/>
      </c>
      <c r="BA185" t="str">
        <f t="shared" si="328"/>
        <v/>
      </c>
      <c r="BB185">
        <f t="shared" si="328"/>
        <v>-0.67334078705390576</v>
      </c>
      <c r="BC185" t="str">
        <f t="shared" si="328"/>
        <v/>
      </c>
      <c r="BD185" t="str">
        <f t="shared" si="328"/>
        <v/>
      </c>
      <c r="BE185" t="str">
        <f t="shared" si="328"/>
        <v/>
      </c>
      <c r="BF185" t="str">
        <f t="shared" si="328"/>
        <v/>
      </c>
      <c r="BG185" t="str">
        <f t="shared" si="328"/>
        <v/>
      </c>
      <c r="BH185" t="str">
        <f t="shared" si="328"/>
        <v/>
      </c>
      <c r="BI185">
        <f t="shared" si="328"/>
        <v>-2.7316859966579217E-3</v>
      </c>
      <c r="BJ185">
        <f t="shared" si="328"/>
        <v>-0.27158473245752135</v>
      </c>
      <c r="BK185">
        <f t="shared" si="328"/>
        <v>-0.14201671974830743</v>
      </c>
      <c r="BL185" t="str">
        <f t="shared" ref="BL185:CQ185" si="329">IF(BL118="","",LN(BL154))</f>
        <v/>
      </c>
      <c r="BM185">
        <f t="shared" si="329"/>
        <v>-0.25595834053565625</v>
      </c>
      <c r="BN185">
        <f t="shared" si="329"/>
        <v>-0.52736058786170881</v>
      </c>
      <c r="BO185" t="str">
        <f t="shared" si="329"/>
        <v/>
      </c>
      <c r="BP185">
        <f t="shared" si="329"/>
        <v>-0.1538412978967009</v>
      </c>
      <c r="BQ185">
        <f t="shared" si="329"/>
        <v>2.0252175713549769E-2</v>
      </c>
      <c r="BR185">
        <f t="shared" si="329"/>
        <v>-0.35380898088188312</v>
      </c>
      <c r="BS185">
        <f t="shared" si="329"/>
        <v>-0.36847454772659111</v>
      </c>
      <c r="BT185">
        <f t="shared" si="329"/>
        <v>-0.26505733258697195</v>
      </c>
      <c r="BU185">
        <f t="shared" si="329"/>
        <v>-0.46415872003713282</v>
      </c>
      <c r="BV185">
        <f t="shared" si="329"/>
        <v>-0.48386818145600324</v>
      </c>
      <c r="BW185">
        <f t="shared" si="329"/>
        <v>-0.70816528807406665</v>
      </c>
      <c r="BX185">
        <f t="shared" si="329"/>
        <v>-0.70226862753075148</v>
      </c>
      <c r="BY185">
        <f t="shared" si="329"/>
        <v>-0.75359038242828558</v>
      </c>
      <c r="BZ185">
        <f t="shared" si="329"/>
        <v>-0.2131369134985287</v>
      </c>
      <c r="CA185">
        <f t="shared" si="329"/>
        <v>-0.43351097782717074</v>
      </c>
      <c r="CB185">
        <f t="shared" si="329"/>
        <v>-0.47297778423721404</v>
      </c>
      <c r="CC185">
        <f t="shared" si="329"/>
        <v>-0.8101390609001009</v>
      </c>
      <c r="CD185">
        <f t="shared" si="329"/>
        <v>-0.81880714789760578</v>
      </c>
      <c r="CE185">
        <f t="shared" si="329"/>
        <v>-0.99732112221019209</v>
      </c>
      <c r="CF185">
        <f t="shared" si="329"/>
        <v>-1.0259179892857824</v>
      </c>
      <c r="CG185" t="str">
        <f t="shared" si="329"/>
        <v/>
      </c>
      <c r="CH185" t="str">
        <f t="shared" si="329"/>
        <v/>
      </c>
      <c r="CI185" t="str">
        <f t="shared" si="329"/>
        <v/>
      </c>
      <c r="CJ185" t="str">
        <f t="shared" si="329"/>
        <v/>
      </c>
      <c r="CK185" t="str">
        <f t="shared" si="329"/>
        <v/>
      </c>
      <c r="CL185" t="str">
        <f t="shared" si="329"/>
        <v/>
      </c>
      <c r="CM185" t="str">
        <f t="shared" si="329"/>
        <v/>
      </c>
      <c r="CN185" t="str">
        <f t="shared" si="329"/>
        <v/>
      </c>
      <c r="CO185" t="str">
        <f t="shared" si="329"/>
        <v/>
      </c>
      <c r="CP185">
        <f t="shared" si="329"/>
        <v>-0.18521047198730264</v>
      </c>
      <c r="CQ185">
        <f t="shared" si="329"/>
        <v>-0.15195997833985508</v>
      </c>
      <c r="CR185">
        <f t="shared" ref="CR185:DW185" si="330">IF(CR118="","",LN(CR154))</f>
        <v>-0.29469730957137136</v>
      </c>
      <c r="CS185">
        <f t="shared" si="330"/>
        <v>-0.16983605271860291</v>
      </c>
      <c r="CT185">
        <f t="shared" si="330"/>
        <v>-0.40274646345771808</v>
      </c>
      <c r="CU185">
        <f t="shared" si="330"/>
        <v>-0.29603403416239793</v>
      </c>
      <c r="CV185">
        <f t="shared" si="330"/>
        <v>-0.56801411470835184</v>
      </c>
      <c r="CW185">
        <f t="shared" si="330"/>
        <v>-0.34085779909645542</v>
      </c>
      <c r="CX185">
        <f t="shared" si="330"/>
        <v>-0.22560878940087914</v>
      </c>
      <c r="CY185">
        <f t="shared" si="330"/>
        <v>-0.52807657974908073</v>
      </c>
      <c r="CZ185">
        <f t="shared" si="330"/>
        <v>-0.48600144124430039</v>
      </c>
      <c r="DA185">
        <f t="shared" si="330"/>
        <v>-0.49565103980635161</v>
      </c>
      <c r="DB185">
        <f t="shared" si="330"/>
        <v>-0.3316459873164424</v>
      </c>
      <c r="DC185" t="str">
        <f t="shared" si="330"/>
        <v/>
      </c>
      <c r="DD185">
        <f t="shared" si="330"/>
        <v>-0.65936585107756551</v>
      </c>
      <c r="DE185">
        <f t="shared" si="330"/>
        <v>7.8364651895122872E-2</v>
      </c>
      <c r="DF185" t="str">
        <f t="shared" si="330"/>
        <v/>
      </c>
      <c r="DG185" t="str">
        <f t="shared" si="330"/>
        <v/>
      </c>
      <c r="DH185">
        <f t="shared" si="330"/>
        <v>-0.50988723526288338</v>
      </c>
      <c r="DI185">
        <f t="shared" si="330"/>
        <v>-0.4304317346413068</v>
      </c>
      <c r="DJ185">
        <f t="shared" si="330"/>
        <v>-0.58659083044477045</v>
      </c>
      <c r="DK185">
        <f t="shared" si="330"/>
        <v>-0.62302812220513715</v>
      </c>
      <c r="DL185">
        <f t="shared" si="330"/>
        <v>-0.74676012775017853</v>
      </c>
      <c r="DM185">
        <f t="shared" si="330"/>
        <v>0.2679630240419954</v>
      </c>
      <c r="DN185">
        <f t="shared" si="330"/>
        <v>0.12553595509174764</v>
      </c>
      <c r="DO185">
        <f t="shared" si="330"/>
        <v>0.37937976208915059</v>
      </c>
      <c r="DP185">
        <f t="shared" si="330"/>
        <v>0.23892983334234402</v>
      </c>
      <c r="DQ185">
        <f t="shared" si="330"/>
        <v>0.15790554006066521</v>
      </c>
      <c r="DR185">
        <f t="shared" si="330"/>
        <v>-0.68450396843528027</v>
      </c>
      <c r="DS185">
        <f t="shared" si="330"/>
        <v>-0.69553674322169801</v>
      </c>
      <c r="DT185" t="str">
        <f t="shared" si="330"/>
        <v/>
      </c>
      <c r="DU185" t="str">
        <f t="shared" si="330"/>
        <v/>
      </c>
      <c r="DV185">
        <f t="shared" si="330"/>
        <v>0.51283012450382737</v>
      </c>
      <c r="DW185" t="str">
        <f t="shared" si="330"/>
        <v/>
      </c>
      <c r="DX185" t="str">
        <f t="shared" ref="DX185:EL185" si="331">IF(DX118="","",LN(DX154))</f>
        <v/>
      </c>
      <c r="DY185">
        <f t="shared" si="331"/>
        <v>0.8479158845716338</v>
      </c>
      <c r="DZ185">
        <f t="shared" si="331"/>
        <v>0.38078855509289972</v>
      </c>
      <c r="EA185">
        <f t="shared" si="331"/>
        <v>0.2481232261821841</v>
      </c>
      <c r="EB185">
        <f t="shared" si="331"/>
        <v>0.45026529046013403</v>
      </c>
      <c r="EC185">
        <f t="shared" si="331"/>
        <v>0.10613526337092262</v>
      </c>
      <c r="ED185">
        <f t="shared" si="331"/>
        <v>0.35979469821167054</v>
      </c>
      <c r="EE185">
        <f t="shared" si="331"/>
        <v>0.22661908118239854</v>
      </c>
      <c r="EF185">
        <f t="shared" si="331"/>
        <v>-6.505363023559628E-2</v>
      </c>
      <c r="EG185">
        <f t="shared" si="331"/>
        <v>0.19335794616136229</v>
      </c>
      <c r="EH185" t="str">
        <f t="shared" si="331"/>
        <v/>
      </c>
      <c r="EI185">
        <f t="shared" si="331"/>
        <v>-0.13505383913681832</v>
      </c>
      <c r="EJ185">
        <f t="shared" si="331"/>
        <v>-4.5121162670679976E-2</v>
      </c>
      <c r="EK185" t="str">
        <f t="shared" si="331"/>
        <v/>
      </c>
      <c r="EL185">
        <f t="shared" si="331"/>
        <v>-0.12122404621344399</v>
      </c>
    </row>
    <row r="186" spans="3:142" x14ac:dyDescent="0.2">
      <c r="E186" s="10" t="str" cm="1">
        <f t="array" ref="E186">gavg(AF186,EL186)</f>
        <v>no data</v>
      </c>
      <c r="F186" t="str" cm="1">
        <f t="array" ref="F186">lnstdev(AF186,EL186)</f>
        <v>insuff data</v>
      </c>
      <c r="AE186" t="s">
        <v>649</v>
      </c>
      <c r="AF186" t="str">
        <f t="shared" ref="AF186:BK186" si="332">IF(AF119="","",LN(AF155))</f>
        <v/>
      </c>
      <c r="AG186" t="str">
        <f t="shared" si="332"/>
        <v/>
      </c>
      <c r="AH186" t="str">
        <f t="shared" si="332"/>
        <v/>
      </c>
      <c r="AI186" t="str">
        <f t="shared" si="332"/>
        <v/>
      </c>
      <c r="AJ186" t="str">
        <f t="shared" si="332"/>
        <v/>
      </c>
      <c r="AK186" t="str">
        <f t="shared" si="332"/>
        <v/>
      </c>
      <c r="AL186">
        <f t="shared" si="332"/>
        <v>-4.0439963499057055E-2</v>
      </c>
      <c r="AM186">
        <f t="shared" si="332"/>
        <v>-0.11284744078214888</v>
      </c>
      <c r="AN186">
        <f t="shared" si="332"/>
        <v>-0.30512173350521671</v>
      </c>
      <c r="AO186">
        <f t="shared" si="332"/>
        <v>-0.2774098651179504</v>
      </c>
      <c r="AP186">
        <f t="shared" si="332"/>
        <v>-0.31354624157415495</v>
      </c>
      <c r="AQ186">
        <f t="shared" si="332"/>
        <v>-0.3315137675510012</v>
      </c>
      <c r="AR186">
        <f t="shared" si="332"/>
        <v>-0.83846074085055666</v>
      </c>
      <c r="AS186">
        <f t="shared" si="332"/>
        <v>-0.79502257228283368</v>
      </c>
      <c r="AT186">
        <f t="shared" si="332"/>
        <v>-0.82260677529090387</v>
      </c>
      <c r="AU186" t="str">
        <f t="shared" si="332"/>
        <v/>
      </c>
      <c r="AV186">
        <f t="shared" si="332"/>
        <v>-0.85491698242770131</v>
      </c>
      <c r="AW186" t="str">
        <f t="shared" si="332"/>
        <v/>
      </c>
      <c r="AX186" t="str">
        <f t="shared" si="332"/>
        <v/>
      </c>
      <c r="AY186" t="str">
        <f t="shared" si="332"/>
        <v/>
      </c>
      <c r="AZ186" t="str">
        <f t="shared" si="332"/>
        <v/>
      </c>
      <c r="BA186" t="str">
        <f t="shared" si="332"/>
        <v/>
      </c>
      <c r="BB186">
        <f t="shared" si="332"/>
        <v>-1.0628022424106252</v>
      </c>
      <c r="BC186" t="str">
        <f t="shared" si="332"/>
        <v/>
      </c>
      <c r="BD186" t="str">
        <f t="shared" si="332"/>
        <v/>
      </c>
      <c r="BE186" t="str">
        <f t="shared" si="332"/>
        <v/>
      </c>
      <c r="BF186" t="str">
        <f t="shared" si="332"/>
        <v/>
      </c>
      <c r="BG186" t="str">
        <f t="shared" si="332"/>
        <v/>
      </c>
      <c r="BH186" t="str">
        <f t="shared" si="332"/>
        <v/>
      </c>
      <c r="BI186">
        <f t="shared" si="332"/>
        <v>-0.42204026878116246</v>
      </c>
      <c r="BJ186">
        <f t="shared" si="332"/>
        <v>-0.63479232458993662</v>
      </c>
      <c r="BK186">
        <f t="shared" si="332"/>
        <v>-0.3164976726053485</v>
      </c>
      <c r="BL186" t="str">
        <f t="shared" ref="BL186:CQ186" si="333">IF(BL119="","",LN(BL155))</f>
        <v/>
      </c>
      <c r="BM186">
        <f t="shared" si="333"/>
        <v>-0.83684896484723215</v>
      </c>
      <c r="BN186">
        <f t="shared" si="333"/>
        <v>-0.81144383348808391</v>
      </c>
      <c r="BO186" t="str">
        <f t="shared" si="333"/>
        <v/>
      </c>
      <c r="BP186">
        <f t="shared" si="333"/>
        <v>-0.87773220169199373</v>
      </c>
      <c r="BQ186">
        <f t="shared" si="333"/>
        <v>-0.506867151690928</v>
      </c>
      <c r="BR186">
        <f t="shared" si="333"/>
        <v>-0.94395759220051367</v>
      </c>
      <c r="BS186">
        <f t="shared" si="333"/>
        <v>-0.89202479311692628</v>
      </c>
      <c r="BT186">
        <f t="shared" si="333"/>
        <v>-0.63846319007361008</v>
      </c>
      <c r="BU186">
        <f t="shared" si="333"/>
        <v>-0.85578260351346325</v>
      </c>
      <c r="BV186">
        <f t="shared" si="333"/>
        <v>-0.93943424341364434</v>
      </c>
      <c r="BW186">
        <f t="shared" si="333"/>
        <v>-1.0680913320449683</v>
      </c>
      <c r="BX186">
        <f t="shared" si="333"/>
        <v>-1.1124476901207818</v>
      </c>
      <c r="BY186">
        <f t="shared" si="333"/>
        <v>-1.0795964525107573</v>
      </c>
      <c r="BZ186">
        <f t="shared" si="333"/>
        <v>-0.93704424742104886</v>
      </c>
      <c r="CA186">
        <f t="shared" si="333"/>
        <v>-0.80462704051878531</v>
      </c>
      <c r="CB186">
        <f t="shared" si="333"/>
        <v>-0.97314820785718614</v>
      </c>
      <c r="CC186">
        <f t="shared" si="333"/>
        <v>-1.0219330224000287</v>
      </c>
      <c r="CD186">
        <f t="shared" si="333"/>
        <v>-1.1504442599908988</v>
      </c>
      <c r="CE186">
        <f t="shared" si="333"/>
        <v>-1.2054759979813672</v>
      </c>
      <c r="CF186">
        <f t="shared" si="333"/>
        <v>-1.2987709079952103</v>
      </c>
      <c r="CG186" t="str">
        <f t="shared" si="333"/>
        <v/>
      </c>
      <c r="CH186" t="str">
        <f t="shared" si="333"/>
        <v/>
      </c>
      <c r="CI186" t="str">
        <f t="shared" si="333"/>
        <v/>
      </c>
      <c r="CJ186" t="str">
        <f t="shared" si="333"/>
        <v/>
      </c>
      <c r="CK186" t="str">
        <f t="shared" si="333"/>
        <v/>
      </c>
      <c r="CL186" t="str">
        <f t="shared" si="333"/>
        <v/>
      </c>
      <c r="CM186" t="str">
        <f t="shared" si="333"/>
        <v/>
      </c>
      <c r="CN186" t="str">
        <f t="shared" si="333"/>
        <v/>
      </c>
      <c r="CO186" t="str">
        <f t="shared" si="333"/>
        <v/>
      </c>
      <c r="CP186">
        <f t="shared" si="333"/>
        <v>-0.65636139786990277</v>
      </c>
      <c r="CQ186">
        <f t="shared" si="333"/>
        <v>-0.77027766180304902</v>
      </c>
      <c r="CR186">
        <f t="shared" ref="CR186:DW186" si="334">IF(CR119="","",LN(CR155))</f>
        <v>-1.0637341439832357</v>
      </c>
      <c r="CS186">
        <f t="shared" si="334"/>
        <v>-0.61629122707021988</v>
      </c>
      <c r="CT186">
        <f t="shared" si="334"/>
        <v>-0.86274864548549113</v>
      </c>
      <c r="CU186">
        <f t="shared" si="334"/>
        <v>-0.97821571713594535</v>
      </c>
      <c r="CV186">
        <f t="shared" si="334"/>
        <v>-1.0756698890869547</v>
      </c>
      <c r="CW186">
        <f t="shared" si="334"/>
        <v>-0.71888831392665065</v>
      </c>
      <c r="CX186">
        <f t="shared" si="334"/>
        <v>-0.53112091148867391</v>
      </c>
      <c r="CY186">
        <f t="shared" si="334"/>
        <v>-0.89509210648306181</v>
      </c>
      <c r="CZ186">
        <f t="shared" si="334"/>
        <v>-0.74983330839477913</v>
      </c>
      <c r="DA186">
        <f t="shared" si="334"/>
        <v>-0.79022785199883616</v>
      </c>
      <c r="DB186">
        <f t="shared" si="334"/>
        <v>-0.85804079375299647</v>
      </c>
      <c r="DC186" t="str">
        <f t="shared" si="334"/>
        <v/>
      </c>
      <c r="DD186">
        <f t="shared" si="334"/>
        <v>-1.0186820719365084</v>
      </c>
      <c r="DE186">
        <f t="shared" si="334"/>
        <v>-0.6773860286959198</v>
      </c>
      <c r="DF186" t="str">
        <f t="shared" si="334"/>
        <v/>
      </c>
      <c r="DG186" t="str">
        <f t="shared" si="334"/>
        <v/>
      </c>
      <c r="DH186">
        <f t="shared" si="334"/>
        <v>-0.76811379551896508</v>
      </c>
      <c r="DI186">
        <f t="shared" si="334"/>
        <v>-0.91456135929085081</v>
      </c>
      <c r="DJ186">
        <f t="shared" si="334"/>
        <v>-0.73514437963259693</v>
      </c>
      <c r="DK186">
        <f t="shared" si="334"/>
        <v>-0.96885486434357082</v>
      </c>
      <c r="DL186">
        <f t="shared" si="334"/>
        <v>-1.0770271433612462</v>
      </c>
      <c r="DM186">
        <f t="shared" si="334"/>
        <v>-0.23764826737806866</v>
      </c>
      <c r="DN186">
        <f t="shared" si="334"/>
        <v>-0.52196859302275256</v>
      </c>
      <c r="DO186">
        <f t="shared" si="334"/>
        <v>-0.51516760281846441</v>
      </c>
      <c r="DP186">
        <f t="shared" si="334"/>
        <v>-0.64088278835529167</v>
      </c>
      <c r="DQ186">
        <f t="shared" si="334"/>
        <v>-0.69654238407157854</v>
      </c>
      <c r="DR186">
        <f t="shared" si="334"/>
        <v>-0.68627957342184998</v>
      </c>
      <c r="DS186">
        <f t="shared" si="334"/>
        <v>-0.78176147968817633</v>
      </c>
      <c r="DT186" t="str">
        <f t="shared" si="334"/>
        <v/>
      </c>
      <c r="DU186" t="str">
        <f t="shared" si="334"/>
        <v/>
      </c>
      <c r="DV186">
        <f t="shared" si="334"/>
        <v>-0.54933712024139902</v>
      </c>
      <c r="DW186" t="str">
        <f t="shared" si="334"/>
        <v/>
      </c>
      <c r="DX186" t="str">
        <f t="shared" ref="DX186:EL186" si="335">IF(DX119="","",LN(DX155))</f>
        <v/>
      </c>
      <c r="DY186">
        <f t="shared" si="335"/>
        <v>-0.34285936858808613</v>
      </c>
      <c r="DZ186">
        <f t="shared" si="335"/>
        <v>-0.55291363291492013</v>
      </c>
      <c r="EA186">
        <f t="shared" si="335"/>
        <v>-0.50543058922340967</v>
      </c>
      <c r="EB186">
        <f t="shared" si="335"/>
        <v>-0.31810667165891937</v>
      </c>
      <c r="EC186">
        <f t="shared" si="335"/>
        <v>-0.56513627304265646</v>
      </c>
      <c r="ED186">
        <f t="shared" si="335"/>
        <v>-0.64506605732399802</v>
      </c>
      <c r="EE186">
        <f t="shared" si="335"/>
        <v>-0.59160942427914731</v>
      </c>
      <c r="EF186">
        <f t="shared" si="335"/>
        <v>-0.78843817579540953</v>
      </c>
      <c r="EG186">
        <f t="shared" si="335"/>
        <v>-0.55157006064469316</v>
      </c>
      <c r="EH186" t="str">
        <f t="shared" si="335"/>
        <v/>
      </c>
      <c r="EI186">
        <f t="shared" si="335"/>
        <v>-0.85628585193845475</v>
      </c>
      <c r="EJ186">
        <f t="shared" si="335"/>
        <v>-0.81459995632603521</v>
      </c>
      <c r="EK186" t="str">
        <f t="shared" si="335"/>
        <v/>
      </c>
      <c r="EL186">
        <f t="shared" si="335"/>
        <v>-0.82340577659577641</v>
      </c>
    </row>
    <row r="187" spans="3:142" x14ac:dyDescent="0.2">
      <c r="C187" s="10">
        <f t="shared" ref="C187" si="336">MIN(AF187:EL187)</f>
        <v>4.0801573520638262E-2</v>
      </c>
      <c r="D187" s="10">
        <f t="shared" ref="D187" si="337">MAX(AF187:EL187)</f>
        <v>47.69219685499079</v>
      </c>
      <c r="E187" s="10" cm="1">
        <f t="array" ref="E187">gavg(AF187,EL187)</f>
        <v>0.71597083757419866</v>
      </c>
      <c r="F187" s="10" cm="1">
        <f t="array" ref="F187">lnstdev(AF187,EL187)</f>
        <v>1.7978174682077346</v>
      </c>
      <c r="G187" s="10">
        <f t="shared" ref="G187" si="338">COUNT(AF187:EL187)</f>
        <v>21</v>
      </c>
      <c r="H187" s="10">
        <f t="shared" ref="H187" si="339">MIN(AF187:AO187)</f>
        <v>0.15310204660357316</v>
      </c>
      <c r="I187" s="10">
        <f t="shared" ref="I187" si="340">MAX(AF187:AO187)</f>
        <v>1.027867409095562</v>
      </c>
      <c r="J187" s="10"/>
      <c r="K187" s="10"/>
      <c r="L187" s="10">
        <f t="shared" ref="L187" si="341">COUNT(AF187:AO187)</f>
        <v>4</v>
      </c>
      <c r="M187" s="10">
        <f t="shared" ref="M187" si="342">MIN(AP187:BL187)</f>
        <v>4.0801573520638262E-2</v>
      </c>
      <c r="N187" s="10">
        <f t="shared" ref="N187" si="343">MAX(AP187:BL187)</f>
        <v>0.8829116786628749</v>
      </c>
      <c r="O187" s="10">
        <f t="shared" ref="O187" si="344">COUNT(AP187:BL187)</f>
        <v>8</v>
      </c>
      <c r="P187" s="10">
        <f t="shared" ref="P187" si="345">MIN(BM187:CO187)</f>
        <v>0</v>
      </c>
      <c r="Q187" s="10">
        <f t="shared" ref="Q187" si="346">MAX(BM187:CO187)</f>
        <v>0</v>
      </c>
      <c r="R187" s="10">
        <f t="shared" ref="R187" si="347">COUNT(BM187:CO187)</f>
        <v>0</v>
      </c>
      <c r="S187" s="10">
        <f t="shared" ref="S187" si="348">MIN(CP187:DT187)</f>
        <v>0.32037065349979982</v>
      </c>
      <c r="T187" s="10">
        <f t="shared" ref="T187" si="349">MAX(CP187:DT187)</f>
        <v>1.1930157393580951</v>
      </c>
      <c r="U187" s="10">
        <f t="shared" ref="U187" si="350">COUNT(CP187:DT187)</f>
        <v>4</v>
      </c>
      <c r="V187" s="10">
        <f t="shared" ref="V187:V190" si="351">MIN($DU187:$EL187)</f>
        <v>3.5503044995011726</v>
      </c>
      <c r="W187" s="10">
        <f t="shared" ref="W187:W190" si="352">MAX($DU187:$EL187)</f>
        <v>47.69219685499079</v>
      </c>
      <c r="X187" s="10">
        <f t="shared" ref="X187:X190" si="353">COUNT($DU187:$EL187)</f>
        <v>5</v>
      </c>
      <c r="Y187" s="10">
        <f t="shared" ref="Y187:Y190" si="354">MIN($DU187:$DX187)</f>
        <v>10.769273247931968</v>
      </c>
      <c r="Z187" s="10">
        <f t="shared" ref="Z187:Z190" si="355">MAX($DU187:$DX187)</f>
        <v>10.769273247931968</v>
      </c>
      <c r="AA187" s="10">
        <f t="shared" ref="AA187:AA190" si="356">COUNT($DU187:$DX187)</f>
        <v>1</v>
      </c>
      <c r="AB187" s="10">
        <f t="shared" ref="AB187:AB190" si="357">MIN($DY187:$EL187)</f>
        <v>3.5503044995011726</v>
      </c>
      <c r="AC187" s="10">
        <f t="shared" ref="AC187:AC190" si="358">MAX($DY187:$EL187)</f>
        <v>47.69219685499079</v>
      </c>
      <c r="AD187" s="10">
        <f t="shared" ref="AD187:AD190" si="359">COUNT($DY187:$EL187)</f>
        <v>4</v>
      </c>
      <c r="AE187" s="5" t="s">
        <v>671</v>
      </c>
      <c r="AF187" t="str" cm="1">
        <f t="array" ref="AF187">IF(AF144="","",AF144/pli_2(AF136,'c'!$F$278,'c'!$L$278,TRUE,TRUE,"col",idum))</f>
        <v/>
      </c>
      <c r="AG187" t="str" cm="1">
        <f t="array" ref="AG187">IF(AG144="","",AG144/pli_2(AG136,'c'!$F$278,'c'!$L$278,TRUE,TRUE,"col",idum))</f>
        <v/>
      </c>
      <c r="AH187" t="str" cm="1">
        <f t="array" ref="AH187">IF(AH144="","",AH144/pli_2(AH136,'c'!$F$278,'c'!$L$278,TRUE,TRUE,"col",idum))</f>
        <v/>
      </c>
      <c r="AI187" t="str" cm="1">
        <f t="array" ref="AI187">IF(AI144="","",AI144/pli_2(AI136,'c'!$F$278,'c'!$L$278,TRUE,TRUE,"col",idum))</f>
        <v/>
      </c>
      <c r="AJ187" t="str" cm="1">
        <f t="array" ref="AJ187">IF(AJ144="","",AJ144/pli_2(AJ136,'c'!$F$278,'c'!$L$278,TRUE,TRUE,"col",idum))</f>
        <v/>
      </c>
      <c r="AK187" t="str" cm="1">
        <f t="array" ref="AK187">IF(AK144="","",AK144/pli_2(AK136,'c'!$F$278,'c'!$L$278,TRUE,TRUE,"col",idum))</f>
        <v/>
      </c>
      <c r="AL187" cm="1">
        <f t="array" ref="AL187">IF(AL144="","",AL144/pli_2(AL136,'c'!$F$278,'c'!$L$278,TRUE,TRUE,"col",idum))</f>
        <v>1.027867409095562</v>
      </c>
      <c r="AM187" cm="1">
        <f t="array" ref="AM187">IF(AM144="","",AM144/pli_2(AM136,'c'!$F$278,'c'!$L$278,TRUE,TRUE,"col",idum))</f>
        <v>0.96973041423186868</v>
      </c>
      <c r="AN187" cm="1">
        <f t="array" ref="AN187">IF(AN144="","",AN144/pli_2(AN136,'c'!$F$278,'c'!$L$278,TRUE,TRUE,"col",idum))</f>
        <v>0.44997413638064759</v>
      </c>
      <c r="AO187" cm="1">
        <f t="array" ref="AO187">IF(AO144="","",AO144/pli_2(AO136,'c'!$F$278,'c'!$L$278,TRUE,TRUE,"col",idum))</f>
        <v>0.15310204660357316</v>
      </c>
      <c r="AP187" cm="1">
        <f t="array" ref="AP187">IF(AP144="","",AP144/pli_2(AP136,'c'!$F$278,'c'!$L$278,TRUE,TRUE,"col",idum))</f>
        <v>0.20302233021511543</v>
      </c>
      <c r="AQ187" cm="1">
        <f t="array" ref="AQ187">IF(AQ144="","",AQ144/pli_2(AQ136,'c'!$F$278,'c'!$L$278,TRUE,TRUE,"col",idum))</f>
        <v>4.0801573520638262E-2</v>
      </c>
      <c r="AR187" cm="1">
        <f t="array" ref="AR187">IF(AR144="","",AR144/pli_2(AR136,'c'!$F$278,'c'!$L$278,TRUE,TRUE,"col",idum))</f>
        <v>0.10683976430934426</v>
      </c>
      <c r="AS187" cm="1">
        <f t="array" ref="AS187">IF(AS144="","",AS144/pli_2(AS136,'c'!$F$278,'c'!$L$278,TRUE,TRUE,"col",idum))</f>
        <v>0.23154897243709932</v>
      </c>
      <c r="AT187" cm="1">
        <f t="array" ref="AT187">IF(AT144="","",AT144/pli_2(AT136,'c'!$F$278,'c'!$L$278,TRUE,TRUE,"col",idum))</f>
        <v>0.8829116786628749</v>
      </c>
      <c r="AU187" t="str" cm="1">
        <f t="array" ref="AU187">IF(AU144="","",AU144/pli_2(AU136,'c'!$F$278,'c'!$L$278,TRUE,TRUE,"col",idum))</f>
        <v/>
      </c>
      <c r="AV187" t="str" cm="1">
        <f t="array" ref="AV187">IF(AV144="","",AV144/pli_2(AV136,'c'!$F$278,'c'!$L$278,TRUE,TRUE,"col",idum))</f>
        <v/>
      </c>
      <c r="AW187" t="str" cm="1">
        <f t="array" ref="AW187">IF(AW144="","",AW144/pli_2(AW136,'c'!$F$278,'c'!$L$278,TRUE,TRUE,"col",idum))</f>
        <v/>
      </c>
      <c r="AX187" t="str" cm="1">
        <f t="array" ref="AX187">IF(AX144="","",AX144/pli_2(AX136,'c'!$F$278,'c'!$L$278,TRUE,TRUE,"col",idum))</f>
        <v/>
      </c>
      <c r="AY187" t="str" cm="1">
        <f t="array" ref="AY187">IF(AY144="","",AY144/pli_2(AY136,'c'!$F$278,'c'!$L$278,TRUE,TRUE,"col",idum))</f>
        <v/>
      </c>
      <c r="AZ187" t="str" cm="1">
        <f t="array" ref="AZ187">IF(AZ144="","",AZ144/pli_2(AZ136,'c'!$F$278,'c'!$L$278,TRUE,TRUE,"col",idum))</f>
        <v/>
      </c>
      <c r="BA187" t="str" cm="1">
        <f t="array" ref="BA187">IF(BA144="","",BA144/pli_2(BA136,'c'!$F$278,'c'!$L$278,TRUE,TRUE,"col",idum))</f>
        <v/>
      </c>
      <c r="BB187" t="str" cm="1">
        <f t="array" ref="BB187">IF(BB144="","",BB144/pli_2(BB136,'c'!$F$278,'c'!$L$278,TRUE,TRUE,"col",idum))</f>
        <v/>
      </c>
      <c r="BC187" t="str" cm="1">
        <f t="array" ref="BC187">IF(BC144="","",BC144/pli_2(BC136,'c'!$F$278,'c'!$L$278,TRUE,TRUE,"col",idum))</f>
        <v/>
      </c>
      <c r="BD187" t="str" cm="1">
        <f t="array" ref="BD187">IF(BD144="","",BD144/pli_2(BD136,'c'!$F$278,'c'!$L$278,TRUE,TRUE,"col",idum))</f>
        <v/>
      </c>
      <c r="BE187" t="str" cm="1">
        <f t="array" ref="BE187">IF(BE144="","",BE144/pli_2(BE136,'c'!$F$278,'c'!$L$278,TRUE,TRUE,"col",idum))</f>
        <v/>
      </c>
      <c r="BF187" t="str" cm="1">
        <f t="array" ref="BF187">IF(BF144="","",BF144/pli_2(BF136,'c'!$F$278,'c'!$L$278,TRUE,TRUE,"col",idum))</f>
        <v/>
      </c>
      <c r="BG187" t="str" cm="1">
        <f t="array" ref="BG187">IF(BG144="","",BG144/pli_2(BG136,'c'!$F$278,'c'!$L$278,TRUE,TRUE,"col",idum))</f>
        <v/>
      </c>
      <c r="BH187" t="str" cm="1">
        <f t="array" ref="BH187">IF(BH144="","",BH144/pli_2(BH136,'c'!$F$278,'c'!$L$278,TRUE,TRUE,"col",idum))</f>
        <v/>
      </c>
      <c r="BI187" cm="1">
        <f t="array" ref="BI187">IF(BI144="","",BI144/pli_2(BI136,'c'!$F$278,'c'!$L$278,TRUE,TRUE,"col",idum))</f>
        <v>0.62179091313228452</v>
      </c>
      <c r="BJ187" cm="1">
        <f t="array" ref="BJ187">IF(BJ144="","",BJ144/pli_2(BJ136,'c'!$F$278,'c'!$L$278,TRUE,TRUE,"col",idum))</f>
        <v>0.24305605853415418</v>
      </c>
      <c r="BK187" cm="1">
        <f t="array" ref="BK187">IF(BK144="","",BK144/pli_2(BK136,'c'!$F$278,'c'!$L$278,TRUE,TRUE,"col",idum))</f>
        <v>4.8360997356866851E-2</v>
      </c>
      <c r="BL187" t="str" cm="1">
        <f t="array" ref="BL187">IF(BL144="","",BL144/pli_2(BL136,'c'!$F$278,'c'!$L$278,TRUE,TRUE,"col",idum))</f>
        <v/>
      </c>
      <c r="BM187" t="str" cm="1">
        <f t="array" ref="BM187">IF(BM144="","",BM144/pli_2(BM136,'c'!$F$278,'c'!$L$278,TRUE,TRUE,"col",idum))</f>
        <v/>
      </c>
      <c r="BN187" t="str" cm="1">
        <f t="array" ref="BN187">IF(BN144="","",BN144/pli_2(BN136,'c'!$F$278,'c'!$L$278,TRUE,TRUE,"col",idum))</f>
        <v/>
      </c>
      <c r="BO187" t="str" cm="1">
        <f t="array" ref="BO187">IF(BO144="","",BO144/pli_2(BO136,'c'!$F$278,'c'!$L$278,TRUE,TRUE,"col",idum))</f>
        <v/>
      </c>
      <c r="BP187" t="str" cm="1">
        <f t="array" ref="BP187">IF(BP144="","",BP144/pli_2(BP136,'c'!$F$278,'c'!$L$278,TRUE,TRUE,"col",idum))</f>
        <v/>
      </c>
      <c r="BQ187" t="str" cm="1">
        <f t="array" ref="BQ187">IF(BQ144="","",BQ144/pli_2(BQ136,'c'!$F$278,'c'!$L$278,TRUE,TRUE,"col",idum))</f>
        <v/>
      </c>
      <c r="BR187" t="str" cm="1">
        <f t="array" ref="BR187">IF(BR144="","",BR144/pli_2(BR136,'c'!$F$278,'c'!$L$278,TRUE,TRUE,"col",idum))</f>
        <v/>
      </c>
      <c r="BS187" t="str" cm="1">
        <f t="array" ref="BS187">IF(BS144="","",BS144/pli_2(BS136,'c'!$F$278,'c'!$L$278,TRUE,TRUE,"col",idum))</f>
        <v/>
      </c>
      <c r="BT187" t="str" cm="1">
        <f t="array" ref="BT187">IF(BT144="","",BT144/pli_2(BT136,'c'!$F$278,'c'!$L$278,TRUE,TRUE,"col",idum))</f>
        <v/>
      </c>
      <c r="BU187" t="str" cm="1">
        <f t="array" ref="BU187">IF(BU144="","",BU144/pli_2(BU136,'c'!$F$278,'c'!$L$278,TRUE,TRUE,"col",idum))</f>
        <v/>
      </c>
      <c r="BV187" t="str" cm="1">
        <f t="array" ref="BV187">IF(BV144="","",BV144/pli_2(BV136,'c'!$F$278,'c'!$L$278,TRUE,TRUE,"col",idum))</f>
        <v/>
      </c>
      <c r="BW187" t="str" cm="1">
        <f t="array" ref="BW187">IF(BW144="","",BW144/pli_2(BW136,'c'!$F$278,'c'!$L$278,TRUE,TRUE,"col",idum))</f>
        <v/>
      </c>
      <c r="BX187" t="str" cm="1">
        <f t="array" ref="BX187">IF(BX144="","",BX144/pli_2(BX136,'c'!$F$278,'c'!$L$278,TRUE,TRUE,"col",idum))</f>
        <v/>
      </c>
      <c r="BY187" t="str" cm="1">
        <f t="array" ref="BY187">IF(BY144="","",BY144/pli_2(BY136,'c'!$F$278,'c'!$L$278,TRUE,TRUE,"col",idum))</f>
        <v/>
      </c>
      <c r="BZ187" t="str" cm="1">
        <f t="array" ref="BZ187">IF(BZ144="","",BZ144/pli_2(BZ136,'c'!$F$278,'c'!$L$278,TRUE,TRUE,"col",idum))</f>
        <v/>
      </c>
      <c r="CA187" t="str" cm="1">
        <f t="array" ref="CA187">IF(CA144="","",CA144/pli_2(CA136,'c'!$F$278,'c'!$L$278,TRUE,TRUE,"col",idum))</f>
        <v/>
      </c>
      <c r="CB187" t="str" cm="1">
        <f t="array" ref="CB187">IF(CB144="","",CB144/pli_2(CB136,'c'!$F$278,'c'!$L$278,TRUE,TRUE,"col",idum))</f>
        <v/>
      </c>
      <c r="CC187" t="str" cm="1">
        <f t="array" ref="CC187">IF(CC144="","",CC144/pli_2(CC136,'c'!$F$278,'c'!$L$278,TRUE,TRUE,"col",idum))</f>
        <v/>
      </c>
      <c r="CD187" t="str" cm="1">
        <f t="array" ref="CD187">IF(CD144="","",CD144/pli_2(CD136,'c'!$F$278,'c'!$L$278,TRUE,TRUE,"col",idum))</f>
        <v/>
      </c>
      <c r="CE187" t="str" cm="1">
        <f t="array" ref="CE187">IF(CE144="","",CE144/pli_2(CE136,'c'!$F$278,'c'!$L$278,TRUE,TRUE,"col",idum))</f>
        <v/>
      </c>
      <c r="CF187" t="str" cm="1">
        <f t="array" ref="CF187">IF(CF144="","",CF144/pli_2(CF136,'c'!$F$278,'c'!$L$278,TRUE,TRUE,"col",idum))</f>
        <v/>
      </c>
      <c r="CG187" t="str" cm="1">
        <f t="array" ref="CG187">IF(CG144="","",CG144/pli_2(CG136,'c'!$F$278,'c'!$L$278,TRUE,TRUE,"col",idum))</f>
        <v/>
      </c>
      <c r="CH187" t="str" cm="1">
        <f t="array" ref="CH187">IF(CH144="","",CH144/pli_2(CH136,'c'!$F$278,'c'!$L$278,TRUE,TRUE,"col",idum))</f>
        <v/>
      </c>
      <c r="CI187" t="str" cm="1">
        <f t="array" ref="CI187">IF(CI144="","",CI144/pli_2(CI136,'c'!$F$278,'c'!$L$278,TRUE,TRUE,"col",idum))</f>
        <v/>
      </c>
      <c r="CJ187" t="str" cm="1">
        <f t="array" ref="CJ187">IF(CJ144="","",CJ144/pli_2(CJ136,'c'!$F$278,'c'!$L$278,TRUE,TRUE,"col",idum))</f>
        <v/>
      </c>
      <c r="CK187" t="str" cm="1">
        <f t="array" ref="CK187">IF(CK144="","",CK144/pli_2(CK136,'c'!$F$278,'c'!$L$278,TRUE,TRUE,"col",idum))</f>
        <v/>
      </c>
      <c r="CL187" t="str" cm="1">
        <f t="array" ref="CL187">IF(CL144="","",CL144/pli_2(CL136,'c'!$F$278,'c'!$L$278,TRUE,TRUE,"col",idum))</f>
        <v/>
      </c>
      <c r="CM187" t="str" cm="1">
        <f t="array" ref="CM187">IF(CM144="","",CM144/pli_2(CM136,'c'!$F$278,'c'!$L$278,TRUE,TRUE,"col",idum))</f>
        <v/>
      </c>
      <c r="CN187" t="str" cm="1">
        <f t="array" ref="CN187">IF(CN144="","",CN144/pli_2(CN136,'c'!$F$278,'c'!$L$278,TRUE,TRUE,"col",idum))</f>
        <v/>
      </c>
      <c r="CO187" t="str" cm="1">
        <f t="array" ref="CO187">IF(CO144="","",CO144/pli_2(CO136,'c'!$F$278,'c'!$L$278,TRUE,TRUE,"col",idum))</f>
        <v/>
      </c>
      <c r="CP187" t="str" cm="1">
        <f t="array" ref="CP187">IF(CP144="","",CP144/pli_2(CP136,'c'!$F$278,'c'!$L$278,TRUE,TRUE,"col",idum))</f>
        <v/>
      </c>
      <c r="CQ187" t="str" cm="1">
        <f t="array" ref="CQ187">IF(CQ144="","",CQ144/pli_2(CQ136,'c'!$F$278,'c'!$L$278,TRUE,TRUE,"col",idum))</f>
        <v/>
      </c>
      <c r="CR187" t="str" cm="1">
        <f t="array" ref="CR187">IF(CR144="","",CR144/pli_2(CR136,'c'!$F$278,'c'!$L$278,TRUE,TRUE,"col",idum))</f>
        <v/>
      </c>
      <c r="CS187" t="str" cm="1">
        <f t="array" ref="CS187">IF(CS144="","",CS144/pli_2(CS136,'c'!$F$278,'c'!$L$278,TRUE,TRUE,"col",idum))</f>
        <v/>
      </c>
      <c r="CT187" t="str" cm="1">
        <f t="array" ref="CT187">IF(CT144="","",CT144/pli_2(CT136,'c'!$F$278,'c'!$L$278,TRUE,TRUE,"col",idum))</f>
        <v/>
      </c>
      <c r="CU187" t="str" cm="1">
        <f t="array" ref="CU187">IF(CU144="","",CU144/pli_2(CU136,'c'!$F$278,'c'!$L$278,TRUE,TRUE,"col",idum))</f>
        <v/>
      </c>
      <c r="CV187" t="str" cm="1">
        <f t="array" ref="CV187">IF(CV144="","",CV144/pli_2(CV136,'c'!$F$278,'c'!$L$278,TRUE,TRUE,"col",idum))</f>
        <v/>
      </c>
      <c r="CW187" t="str" cm="1">
        <f t="array" ref="CW187">IF(CW144="","",CW144/pli_2(CW136,'c'!$F$278,'c'!$L$278,TRUE,TRUE,"col",idum))</f>
        <v/>
      </c>
      <c r="CX187" t="str" cm="1">
        <f t="array" ref="CX187">IF(CX144="","",CX144/pli_2(CX136,'c'!$F$278,'c'!$L$278,TRUE,TRUE,"col",idum))</f>
        <v/>
      </c>
      <c r="CY187" t="str" cm="1">
        <f t="array" ref="CY187">IF(CY144="","",CY144/pli_2(CY136,'c'!$F$278,'c'!$L$278,TRUE,TRUE,"col",idum))</f>
        <v/>
      </c>
      <c r="CZ187" t="str" cm="1">
        <f t="array" ref="CZ187">IF(CZ144="","",CZ144/pli_2(CZ136,'c'!$F$278,'c'!$L$278,TRUE,TRUE,"col",idum))</f>
        <v/>
      </c>
      <c r="DA187" t="str" cm="1">
        <f t="array" ref="DA187">IF(DA144="","",DA144/pli_2(DA136,'c'!$F$278,'c'!$L$278,TRUE,TRUE,"col",idum))</f>
        <v/>
      </c>
      <c r="DB187" t="str" cm="1">
        <f t="array" ref="DB187">IF(DB144="","",DB144/pli_2(DB136,'c'!$F$278,'c'!$L$278,TRUE,TRUE,"col",idum))</f>
        <v/>
      </c>
      <c r="DC187" t="str" cm="1">
        <f t="array" ref="DC187">IF(DC144="","",DC144/pli_2(DC136,'c'!$F$278,'c'!$L$278,TRUE,TRUE,"col",idum))</f>
        <v/>
      </c>
      <c r="DD187" t="str" cm="1">
        <f t="array" ref="DD187">IF(DD144="","",DD144/pli_2(DD136,'c'!$F$278,'c'!$L$278,TRUE,TRUE,"col",idum))</f>
        <v/>
      </c>
      <c r="DE187" t="str" cm="1">
        <f t="array" ref="DE187">IF(DE144="","",DE144/pli_2(DE136,'c'!$F$278,'c'!$L$278,TRUE,TRUE,"col",idum))</f>
        <v/>
      </c>
      <c r="DF187" t="str" cm="1">
        <f t="array" ref="DF187">IF(DF144="","",DF144/pli_2(DF136,'c'!$F$278,'c'!$L$278,TRUE,TRUE,"col",idum))</f>
        <v/>
      </c>
      <c r="DG187" t="str" cm="1">
        <f t="array" ref="DG187">IF(DG144="","",DG144/pli_2(DG136,'c'!$F$278,'c'!$L$278,TRUE,TRUE,"col",idum))</f>
        <v/>
      </c>
      <c r="DH187" t="str" cm="1">
        <f t="array" ref="DH187">IF(DH144="","",DH144/pli_2(DH136,'c'!$F$278,'c'!$L$278,TRUE,TRUE,"col",idum))</f>
        <v/>
      </c>
      <c r="DI187" t="str" cm="1">
        <f t="array" ref="DI187">IF(DI144="","",DI144/pli_2(DI136,'c'!$F$278,'c'!$L$278,TRUE,TRUE,"col",idum))</f>
        <v/>
      </c>
      <c r="DJ187" t="str" cm="1">
        <f t="array" ref="DJ187">IF(DJ144="","",DJ144/pli_2(DJ136,'c'!$F$278,'c'!$L$278,TRUE,TRUE,"col",idum))</f>
        <v/>
      </c>
      <c r="DK187" t="str" cm="1">
        <f t="array" ref="DK187">IF(DK144="","",DK144/pli_2(DK136,'c'!$F$278,'c'!$L$278,TRUE,TRUE,"col",idum))</f>
        <v/>
      </c>
      <c r="DL187" t="str" cm="1">
        <f t="array" ref="DL187">IF(DL144="","",DL144/pli_2(DL136,'c'!$F$278,'c'!$L$278,TRUE,TRUE,"col",idum))</f>
        <v/>
      </c>
      <c r="DM187" cm="1">
        <f t="array" ref="DM187">IF(DM144="","",DM144/pli_2(DM136,'c'!$F$278,'c'!$L$278,TRUE,TRUE,"col",idum))</f>
        <v>0.52451982693481425</v>
      </c>
      <c r="DN187" cm="1">
        <f t="array" ref="DN187">IF(DN144="","",DN144/pli_2(DN136,'c'!$F$278,'c'!$L$278,TRUE,TRUE,"col",idum))</f>
        <v>0.60204874747397374</v>
      </c>
      <c r="DO187" cm="1">
        <f t="array" ref="DO187">IF(DO144="","",DO144/pli_2(DO136,'c'!$F$278,'c'!$L$278,TRUE,TRUE,"col",idum))</f>
        <v>1.1930157393580951</v>
      </c>
      <c r="DP187" t="str" cm="1">
        <f t="array" ref="DP187">IF(DP144="","",DP144/pli_2(DP136,'c'!$F$278,'c'!$L$278,TRUE,TRUE,"col",idum))</f>
        <v/>
      </c>
      <c r="DQ187" cm="1">
        <f t="array" ref="DQ187">IF(DQ144="","",DQ144/pli_2(DQ136,'c'!$F$278,'c'!$L$278,TRUE,TRUE,"col",idum))</f>
        <v>0.32037065349979982</v>
      </c>
      <c r="DR187" t="str" cm="1">
        <f t="array" ref="DR187">IF(DR144="","",DR144/pli_2(DR136,'c'!$F$278,'c'!$L$278,TRUE,TRUE,"col",idum))</f>
        <v/>
      </c>
      <c r="DS187" t="str" cm="1">
        <f t="array" ref="DS187">IF(DS144="","",DS144/pli_2(DS136,'c'!$F$278,'c'!$L$278,TRUE,TRUE,"col",idum))</f>
        <v/>
      </c>
      <c r="DT187" t="str" cm="1">
        <f t="array" ref="DT187">IF(DT144="","",DT144/pli_2(DT136,'c'!$F$278,'c'!$L$278,TRUE,TRUE,"col",idum))</f>
        <v/>
      </c>
      <c r="DU187" t="str" cm="1">
        <f t="array" ref="DU187">IF(DU144="","",DU144/pli_2(DU136,'c'!$F$278,'c'!$L$278,TRUE,TRUE,"col",idum))</f>
        <v/>
      </c>
      <c r="DV187" cm="1">
        <f t="array" ref="DV187">IF(DV144="","",DV144/pli_2(DV136,'c'!$F$278,'c'!$L$278,TRUE,TRUE,"col",idum))</f>
        <v>10.769273247931968</v>
      </c>
      <c r="DW187" t="str" cm="1">
        <f t="array" ref="DW187">IF(DW144="","",DW144/pli_2(DW136,'c'!$F$278,'c'!$L$278,TRUE,TRUE,"col",idum))</f>
        <v/>
      </c>
      <c r="DX187" t="str" cm="1">
        <f t="array" ref="DX187">IF(DX144="","",DX144/pli_2(DX136,'c'!$F$278,'c'!$L$278,TRUE,TRUE,"col",idum))</f>
        <v/>
      </c>
      <c r="DY187" cm="1">
        <f t="array" ref="DY187">IF(DY144="","",DY144/pli_2(DY136,'c'!$F$278,'c'!$L$278,TRUE,TRUE,"col",idum))</f>
        <v>47.69219685499079</v>
      </c>
      <c r="DZ187" cm="1">
        <f t="array" ref="DZ187">IF(DZ144="","",DZ144/pli_2(DZ136,'c'!$F$278,'c'!$L$278,TRUE,TRUE,"col",idum))</f>
        <v>5.6005002335698499</v>
      </c>
      <c r="EA187" cm="1">
        <f t="array" ref="EA187">IF(EA144="","",EA144/pli_2(EA136,'c'!$F$278,'c'!$L$278,TRUE,TRUE,"col",idum))</f>
        <v>3.5503044995011726</v>
      </c>
      <c r="EB187" cm="1">
        <f t="array" ref="EB187">IF(EB144="","",EB144/pli_2(EB136,'c'!$F$278,'c'!$L$278,TRUE,TRUE,"col",idum))</f>
        <v>8.014323935233806</v>
      </c>
      <c r="EC187" t="str" cm="1">
        <f t="array" ref="EC187">IF(EC144="","",EC144/pli_2(EC136,'c'!$F$278,'c'!$L$278,TRUE,TRUE,"col",idum))</f>
        <v/>
      </c>
      <c r="ED187" t="str" cm="1">
        <f t="array" ref="ED187">IF(ED144="","",ED144/pli_2(ED136,'c'!$F$278,'c'!$L$278,TRUE,TRUE,"col",idum))</f>
        <v/>
      </c>
      <c r="EE187" t="str" cm="1">
        <f t="array" ref="EE187">IF(EE144="","",EE144/pli_2(EE136,'c'!$F$278,'c'!$L$278,TRUE,TRUE,"col",idum))</f>
        <v/>
      </c>
      <c r="EF187" t="str" cm="1">
        <f t="array" ref="EF187">IF(EF144="","",EF144/pli_2(EF136,'c'!$F$278,'c'!$L$278,TRUE,TRUE,"col",idum))</f>
        <v/>
      </c>
      <c r="EG187" t="str" cm="1">
        <f t="array" ref="EG187">IF(EG144="","",EG144/pli_2(EG136,'c'!$F$278,'c'!$L$278,TRUE,TRUE,"col",idum))</f>
        <v/>
      </c>
      <c r="EH187" t="str" cm="1">
        <f t="array" ref="EH187">IF(EH144="","",EH144/pli_2(EH136,'c'!$F$278,'c'!$L$278,TRUE,TRUE,"col",idum))</f>
        <v/>
      </c>
      <c r="EI187" t="str" cm="1">
        <f t="array" ref="EI187">IF(EI144="","",EI144/pli_2(EI136,'c'!$F$278,'c'!$L$278,TRUE,TRUE,"col",idum))</f>
        <v/>
      </c>
      <c r="EJ187" t="str" cm="1">
        <f t="array" ref="EJ187">IF(EJ144="","",EJ144/pli_2(EJ136,'c'!$F$278,'c'!$L$278,TRUE,TRUE,"col",idum))</f>
        <v/>
      </c>
      <c r="EK187" t="str" cm="1">
        <f t="array" ref="EK187">IF(EK144="","",EK144/pli_2(EK136,'c'!$F$278,'c'!$L$278,TRUE,TRUE,"col",idum))</f>
        <v/>
      </c>
      <c r="EL187" t="str" cm="1">
        <f t="array" ref="EL187">IF(EL144="","",EL144/pli_2(EL136,'c'!$F$278,'c'!$L$278,TRUE,TRUE,"col",idum))</f>
        <v/>
      </c>
    </row>
    <row r="188" spans="3:142" x14ac:dyDescent="0.2">
      <c r="C188" s="10">
        <f t="shared" ref="C188" si="360">MIN(AF188:EL188)</f>
        <v>3.7609138591922837E-2</v>
      </c>
      <c r="D188" s="10">
        <f t="shared" ref="D188" si="361">MAX(AF188:EL188)</f>
        <v>6.7768641726793453</v>
      </c>
      <c r="E188" s="10" cm="1">
        <f t="array" ref="E188">gavg(AF188,EL188)</f>
        <v>0.35094039950320532</v>
      </c>
      <c r="F188" s="10" cm="1">
        <f t="array" ref="F188">lnstdev(AF188,EL188)</f>
        <v>1.5382486796353458</v>
      </c>
      <c r="G188" s="10">
        <f t="shared" ref="G188" si="362">COUNT(AF188:EL188)</f>
        <v>21</v>
      </c>
      <c r="H188" s="10">
        <f t="shared" ref="H188" si="363">MIN(AF188:AO188)</f>
        <v>0.11216647348520847</v>
      </c>
      <c r="I188" s="10">
        <f t="shared" ref="I188" si="364">MAX(AF188:AO188)</f>
        <v>0.6523626685227788</v>
      </c>
      <c r="J188" s="10"/>
      <c r="K188" s="10"/>
      <c r="L188" s="10">
        <f t="shared" ref="L188" si="365">COUNT(AF188:AO188)</f>
        <v>4</v>
      </c>
      <c r="M188" s="10">
        <f t="shared" ref="M188" si="366">MIN(AP188:BL188)</f>
        <v>3.7609138591922837E-2</v>
      </c>
      <c r="N188" s="10">
        <f t="shared" ref="N188" si="367">MAX(AP188:BL188)</f>
        <v>0.88164333899070113</v>
      </c>
      <c r="O188" s="10">
        <f t="shared" ref="O188" si="368">COUNT(AP188:BL188)</f>
        <v>8</v>
      </c>
      <c r="P188" s="10">
        <f t="shared" ref="P188" si="369">MIN(BM188:CO188)</f>
        <v>0</v>
      </c>
      <c r="Q188" s="10">
        <f t="shared" ref="Q188" si="370">MAX(BM188:CO188)</f>
        <v>0</v>
      </c>
      <c r="R188" s="10">
        <f t="shared" ref="R188" si="371">COUNT(BM188:CO188)</f>
        <v>0</v>
      </c>
      <c r="S188" s="10">
        <f t="shared" ref="S188" si="372">MIN(CP188:DT188)</f>
        <v>7.8214223888619552E-2</v>
      </c>
      <c r="T188" s="10">
        <f t="shared" ref="T188" si="373">MAX(CP188:DT188)</f>
        <v>0.21633547759256469</v>
      </c>
      <c r="U188" s="10">
        <f t="shared" ref="U188" si="374">COUNT(CP188:DT188)</f>
        <v>4</v>
      </c>
      <c r="V188" s="10">
        <f t="shared" si="351"/>
        <v>1.6012756427906385</v>
      </c>
      <c r="W188" s="10">
        <f t="shared" si="352"/>
        <v>6.7768641726793453</v>
      </c>
      <c r="X188" s="10">
        <f t="shared" si="353"/>
        <v>5</v>
      </c>
      <c r="Y188" s="10">
        <f t="shared" si="354"/>
        <v>4.251656497343359</v>
      </c>
      <c r="Z188" s="10">
        <f t="shared" si="355"/>
        <v>4.251656497343359</v>
      </c>
      <c r="AA188" s="10">
        <f t="shared" si="356"/>
        <v>1</v>
      </c>
      <c r="AB188" s="10">
        <f t="shared" si="357"/>
        <v>1.6012756427906385</v>
      </c>
      <c r="AC188" s="10">
        <f t="shared" si="358"/>
        <v>6.7768641726793453</v>
      </c>
      <c r="AD188" s="10">
        <f t="shared" si="359"/>
        <v>4</v>
      </c>
      <c r="AE188" s="5" t="s">
        <v>672</v>
      </c>
      <c r="AF188" t="str" cm="1">
        <f t="array" ref="AF188">IF(AF145="","",AF145/pli_2(AF136,'c'!$F$278,'c'!$M$278,TRUE,TRUE,"col",idum))</f>
        <v/>
      </c>
      <c r="AG188" t="str" cm="1">
        <f t="array" ref="AG188">IF(AG145="","",AG145/pli_2(AG136,'c'!$F$278,'c'!$M$278,TRUE,TRUE,"col",idum))</f>
        <v/>
      </c>
      <c r="AH188" t="str" cm="1">
        <f t="array" ref="AH188">IF(AH145="","",AH145/pli_2(AH136,'c'!$F$278,'c'!$M$278,TRUE,TRUE,"col",idum))</f>
        <v/>
      </c>
      <c r="AI188" t="str" cm="1">
        <f t="array" ref="AI188">IF(AI145="","",AI145/pli_2(AI136,'c'!$F$278,'c'!$M$278,TRUE,TRUE,"col",idum))</f>
        <v/>
      </c>
      <c r="AJ188" t="str" cm="1">
        <f t="array" ref="AJ188">IF(AJ145="","",AJ145/pli_2(AJ136,'c'!$F$278,'c'!$M$278,TRUE,TRUE,"col",idum))</f>
        <v/>
      </c>
      <c r="AK188" t="str" cm="1">
        <f t="array" ref="AK188">IF(AK145="","",AK145/pli_2(AK136,'c'!$F$278,'c'!$M$278,TRUE,TRUE,"col",idum))</f>
        <v/>
      </c>
      <c r="AL188" cm="1">
        <f t="array" ref="AL188">IF(AL145="","",AL145/pli_2(AL136,'c'!$F$278,'c'!$M$278,TRUE,TRUE,"col",idum))</f>
        <v>0.6523626685227788</v>
      </c>
      <c r="AM188" cm="1">
        <f t="array" ref="AM188">IF(AM145="","",AM145/pli_2(AM136,'c'!$F$278,'c'!$M$278,TRUE,TRUE,"col",idum))</f>
        <v>0.45791344725873967</v>
      </c>
      <c r="AN188" cm="1">
        <f t="array" ref="AN188">IF(AN145="","",AN145/pli_2(AN136,'c'!$F$278,'c'!$M$278,TRUE,TRUE,"col",idum))</f>
        <v>0.15161965236221389</v>
      </c>
      <c r="AO188" cm="1">
        <f t="array" ref="AO188">IF(AO145="","",AO145/pli_2(AO136,'c'!$F$278,'c'!$M$278,TRUE,TRUE,"col",idum))</f>
        <v>0.11216647348520847</v>
      </c>
      <c r="AP188" cm="1">
        <f t="array" ref="AP188">IF(AP145="","",AP145/pli_2(AP136,'c'!$F$278,'c'!$M$278,TRUE,TRUE,"col",idum))</f>
        <v>0.20255775617237939</v>
      </c>
      <c r="AQ188" cm="1">
        <f t="array" ref="AQ188">IF(AQ145="","",AQ145/pli_2(AQ136,'c'!$F$278,'c'!$M$278,TRUE,TRUE,"col",idum))</f>
        <v>0.35159426808151367</v>
      </c>
      <c r="AR188" cm="1">
        <f t="array" ref="AR188">IF(AR145="","",AR145/pli_2(AR136,'c'!$F$278,'c'!$M$278,TRUE,TRUE,"col",idum))</f>
        <v>4.3185009641380452E-2</v>
      </c>
      <c r="AS188" cm="1">
        <f t="array" ref="AS188">IF(AS145="","",AS145/pli_2(AS136,'c'!$F$278,'c'!$M$278,TRUE,TRUE,"col",idum))</f>
        <v>5.1505131138261162E-2</v>
      </c>
      <c r="AT188" cm="1">
        <f t="array" ref="AT188">IF(AT145="","",AT145/pli_2(AT136,'c'!$F$278,'c'!$M$278,TRUE,TRUE,"col",idum))</f>
        <v>3.7609138591922837E-2</v>
      </c>
      <c r="AU188" t="str" cm="1">
        <f t="array" ref="AU188">IF(AU145="","",AU145/pli_2(AU136,'c'!$F$278,'c'!$M$278,TRUE,TRUE,"col",idum))</f>
        <v/>
      </c>
      <c r="AV188" t="str" cm="1">
        <f t="array" ref="AV188">IF(AV145="","",AV145/pli_2(AV136,'c'!$F$278,'c'!$M$278,TRUE,TRUE,"col",idum))</f>
        <v/>
      </c>
      <c r="AW188" t="str" cm="1">
        <f t="array" ref="AW188">IF(AW145="","",AW145/pli_2(AW136,'c'!$F$278,'c'!$M$278,TRUE,TRUE,"col",idum))</f>
        <v/>
      </c>
      <c r="AX188" t="str" cm="1">
        <f t="array" ref="AX188">IF(AX145="","",AX145/pli_2(AX136,'c'!$F$278,'c'!$M$278,TRUE,TRUE,"col",idum))</f>
        <v/>
      </c>
      <c r="AY188" t="str" cm="1">
        <f t="array" ref="AY188">IF(AY145="","",AY145/pli_2(AY136,'c'!$F$278,'c'!$M$278,TRUE,TRUE,"col",idum))</f>
        <v/>
      </c>
      <c r="AZ188" t="str" cm="1">
        <f t="array" ref="AZ188">IF(AZ145="","",AZ145/pli_2(AZ136,'c'!$F$278,'c'!$M$278,TRUE,TRUE,"col",idum))</f>
        <v/>
      </c>
      <c r="BA188" t="str" cm="1">
        <f t="array" ref="BA188">IF(BA145="","",BA145/pli_2(BA136,'c'!$F$278,'c'!$M$278,TRUE,TRUE,"col",idum))</f>
        <v/>
      </c>
      <c r="BB188" t="str" cm="1">
        <f t="array" ref="BB188">IF(BB145="","",BB145/pli_2(BB136,'c'!$F$278,'c'!$M$278,TRUE,TRUE,"col",idum))</f>
        <v/>
      </c>
      <c r="BC188" t="str" cm="1">
        <f t="array" ref="BC188">IF(BC145="","",BC145/pli_2(BC136,'c'!$F$278,'c'!$M$278,TRUE,TRUE,"col",idum))</f>
        <v/>
      </c>
      <c r="BD188" t="str" cm="1">
        <f t="array" ref="BD188">IF(BD145="","",BD145/pli_2(BD136,'c'!$F$278,'c'!$M$278,TRUE,TRUE,"col",idum))</f>
        <v/>
      </c>
      <c r="BE188" t="str" cm="1">
        <f t="array" ref="BE188">IF(BE145="","",BE145/pli_2(BE136,'c'!$F$278,'c'!$M$278,TRUE,TRUE,"col",idum))</f>
        <v/>
      </c>
      <c r="BF188" t="str" cm="1">
        <f t="array" ref="BF188">IF(BF145="","",BF145/pli_2(BF136,'c'!$F$278,'c'!$M$278,TRUE,TRUE,"col",idum))</f>
        <v/>
      </c>
      <c r="BG188" t="str" cm="1">
        <f t="array" ref="BG188">IF(BG145="","",BG145/pli_2(BG136,'c'!$F$278,'c'!$M$278,TRUE,TRUE,"col",idum))</f>
        <v/>
      </c>
      <c r="BH188" t="str" cm="1">
        <f t="array" ref="BH188">IF(BH145="","",BH145/pli_2(BH136,'c'!$F$278,'c'!$M$278,TRUE,TRUE,"col",idum))</f>
        <v/>
      </c>
      <c r="BI188" cm="1">
        <f t="array" ref="BI188">IF(BI145="","",BI145/pli_2(BI136,'c'!$F$278,'c'!$M$278,TRUE,TRUE,"col",idum))</f>
        <v>0.88164333899070113</v>
      </c>
      <c r="BJ188" cm="1">
        <f t="array" ref="BJ188">IF(BJ145="","",BJ145/pli_2(BJ136,'c'!$F$278,'c'!$M$278,TRUE,TRUE,"col",idum))</f>
        <v>0.149614309296212</v>
      </c>
      <c r="BK188" cm="1">
        <f t="array" ref="BK188">IF(BK145="","",BK145/pli_2(BK136,'c'!$F$278,'c'!$M$278,TRUE,TRUE,"col",idum))</f>
        <v>0.37165442954549882</v>
      </c>
      <c r="BL188" t="str" cm="1">
        <f t="array" ref="BL188">IF(BL145="","",BL145/pli_2(BL136,'c'!$F$278,'c'!$M$278,TRUE,TRUE,"col",idum))</f>
        <v/>
      </c>
      <c r="BM188" t="str" cm="1">
        <f t="array" ref="BM188">IF(BM145="","",BM145/pli_2(BM136,'c'!$F$278,'c'!$M$278,TRUE,TRUE,"col",idum))</f>
        <v/>
      </c>
      <c r="BN188" t="str" cm="1">
        <f t="array" ref="BN188">IF(BN145="","",BN145/pli_2(BN136,'c'!$F$278,'c'!$M$278,TRUE,TRUE,"col",idum))</f>
        <v/>
      </c>
      <c r="BO188" t="str" cm="1">
        <f t="array" ref="BO188">IF(BO145="","",BO145/pli_2(BO136,'c'!$F$278,'c'!$M$278,TRUE,TRUE,"col",idum))</f>
        <v/>
      </c>
      <c r="BP188" t="str" cm="1">
        <f t="array" ref="BP188">IF(BP145="","",BP145/pli_2(BP136,'c'!$F$278,'c'!$M$278,TRUE,TRUE,"col",idum))</f>
        <v/>
      </c>
      <c r="BQ188" t="str" cm="1">
        <f t="array" ref="BQ188">IF(BQ145="","",BQ145/pli_2(BQ136,'c'!$F$278,'c'!$M$278,TRUE,TRUE,"col",idum))</f>
        <v/>
      </c>
      <c r="BR188" t="str" cm="1">
        <f t="array" ref="BR188">IF(BR145="","",BR145/pli_2(BR136,'c'!$F$278,'c'!$M$278,TRUE,TRUE,"col",idum))</f>
        <v/>
      </c>
      <c r="BS188" t="str" cm="1">
        <f t="array" ref="BS188">IF(BS145="","",BS145/pli_2(BS136,'c'!$F$278,'c'!$M$278,TRUE,TRUE,"col",idum))</f>
        <v/>
      </c>
      <c r="BT188" t="str" cm="1">
        <f t="array" ref="BT188">IF(BT145="","",BT145/pli_2(BT136,'c'!$F$278,'c'!$M$278,TRUE,TRUE,"col",idum))</f>
        <v/>
      </c>
      <c r="BU188" t="str" cm="1">
        <f t="array" ref="BU188">IF(BU145="","",BU145/pli_2(BU136,'c'!$F$278,'c'!$M$278,TRUE,TRUE,"col",idum))</f>
        <v/>
      </c>
      <c r="BV188" t="str" cm="1">
        <f t="array" ref="BV188">IF(BV145="","",BV145/pli_2(BV136,'c'!$F$278,'c'!$M$278,TRUE,TRUE,"col",idum))</f>
        <v/>
      </c>
      <c r="BW188" t="str" cm="1">
        <f t="array" ref="BW188">IF(BW145="","",BW145/pli_2(BW136,'c'!$F$278,'c'!$M$278,TRUE,TRUE,"col",idum))</f>
        <v/>
      </c>
      <c r="BX188" t="str" cm="1">
        <f t="array" ref="BX188">IF(BX145="","",BX145/pli_2(BX136,'c'!$F$278,'c'!$M$278,TRUE,TRUE,"col",idum))</f>
        <v/>
      </c>
      <c r="BY188" t="str" cm="1">
        <f t="array" ref="BY188">IF(BY145="","",BY145/pli_2(BY136,'c'!$F$278,'c'!$M$278,TRUE,TRUE,"col",idum))</f>
        <v/>
      </c>
      <c r="BZ188" t="str" cm="1">
        <f t="array" ref="BZ188">IF(BZ145="","",BZ145/pli_2(BZ136,'c'!$F$278,'c'!$M$278,TRUE,TRUE,"col",idum))</f>
        <v/>
      </c>
      <c r="CA188" t="str" cm="1">
        <f t="array" ref="CA188">IF(CA145="","",CA145/pli_2(CA136,'c'!$F$278,'c'!$M$278,TRUE,TRUE,"col",idum))</f>
        <v/>
      </c>
      <c r="CB188" t="str" cm="1">
        <f t="array" ref="CB188">IF(CB145="","",CB145/pli_2(CB136,'c'!$F$278,'c'!$M$278,TRUE,TRUE,"col",idum))</f>
        <v/>
      </c>
      <c r="CC188" t="str" cm="1">
        <f t="array" ref="CC188">IF(CC145="","",CC145/pli_2(CC136,'c'!$F$278,'c'!$M$278,TRUE,TRUE,"col",idum))</f>
        <v/>
      </c>
      <c r="CD188" t="str" cm="1">
        <f t="array" ref="CD188">IF(CD145="","",CD145/pli_2(CD136,'c'!$F$278,'c'!$M$278,TRUE,TRUE,"col",idum))</f>
        <v/>
      </c>
      <c r="CE188" t="str" cm="1">
        <f t="array" ref="CE188">IF(CE145="","",CE145/pli_2(CE136,'c'!$F$278,'c'!$M$278,TRUE,TRUE,"col",idum))</f>
        <v/>
      </c>
      <c r="CF188" t="str" cm="1">
        <f t="array" ref="CF188">IF(CF145="","",CF145/pli_2(CF136,'c'!$F$278,'c'!$M$278,TRUE,TRUE,"col",idum))</f>
        <v/>
      </c>
      <c r="CG188" t="str" cm="1">
        <f t="array" ref="CG188">IF(CG145="","",CG145/pli_2(CG136,'c'!$F$278,'c'!$M$278,TRUE,TRUE,"col",idum))</f>
        <v/>
      </c>
      <c r="CH188" t="str" cm="1">
        <f t="array" ref="CH188">IF(CH145="","",CH145/pli_2(CH136,'c'!$F$278,'c'!$M$278,TRUE,TRUE,"col",idum))</f>
        <v/>
      </c>
      <c r="CI188" t="str" cm="1">
        <f t="array" ref="CI188">IF(CI145="","",CI145/pli_2(CI136,'c'!$F$278,'c'!$M$278,TRUE,TRUE,"col",idum))</f>
        <v/>
      </c>
      <c r="CJ188" t="str" cm="1">
        <f t="array" ref="CJ188">IF(CJ145="","",CJ145/pli_2(CJ136,'c'!$F$278,'c'!$M$278,TRUE,TRUE,"col",idum))</f>
        <v/>
      </c>
      <c r="CK188" t="str" cm="1">
        <f t="array" ref="CK188">IF(CK145="","",CK145/pli_2(CK136,'c'!$F$278,'c'!$M$278,TRUE,TRUE,"col",idum))</f>
        <v/>
      </c>
      <c r="CL188" t="str" cm="1">
        <f t="array" ref="CL188">IF(CL145="","",CL145/pli_2(CL136,'c'!$F$278,'c'!$M$278,TRUE,TRUE,"col",idum))</f>
        <v/>
      </c>
      <c r="CM188" t="str" cm="1">
        <f t="array" ref="CM188">IF(CM145="","",CM145/pli_2(CM136,'c'!$F$278,'c'!$M$278,TRUE,TRUE,"col",idum))</f>
        <v/>
      </c>
      <c r="CN188" t="str" cm="1">
        <f t="array" ref="CN188">IF(CN145="","",CN145/pli_2(CN136,'c'!$F$278,'c'!$M$278,TRUE,TRUE,"col",idum))</f>
        <v/>
      </c>
      <c r="CO188" t="str" cm="1">
        <f t="array" ref="CO188">IF(CO145="","",CO145/pli_2(CO136,'c'!$F$278,'c'!$M$278,TRUE,TRUE,"col",idum))</f>
        <v/>
      </c>
      <c r="CP188" t="str" cm="1">
        <f t="array" ref="CP188">IF(CP145="","",CP145/pli_2(CP136,'c'!$F$278,'c'!$M$278,TRUE,TRUE,"col",idum))</f>
        <v/>
      </c>
      <c r="CQ188" t="str" cm="1">
        <f t="array" ref="CQ188">IF(CQ145="","",CQ145/pli_2(CQ136,'c'!$F$278,'c'!$M$278,TRUE,TRUE,"col",idum))</f>
        <v/>
      </c>
      <c r="CR188" t="str" cm="1">
        <f t="array" ref="CR188">IF(CR145="","",CR145/pli_2(CR136,'c'!$F$278,'c'!$M$278,TRUE,TRUE,"col",idum))</f>
        <v/>
      </c>
      <c r="CS188" t="str" cm="1">
        <f t="array" ref="CS188">IF(CS145="","",CS145/pli_2(CS136,'c'!$F$278,'c'!$M$278,TRUE,TRUE,"col",idum))</f>
        <v/>
      </c>
      <c r="CT188" t="str" cm="1">
        <f t="array" ref="CT188">IF(CT145="","",CT145/pli_2(CT136,'c'!$F$278,'c'!$M$278,TRUE,TRUE,"col",idum))</f>
        <v/>
      </c>
      <c r="CU188" t="str" cm="1">
        <f t="array" ref="CU188">IF(CU145="","",CU145/pli_2(CU136,'c'!$F$278,'c'!$M$278,TRUE,TRUE,"col",idum))</f>
        <v/>
      </c>
      <c r="CV188" t="str" cm="1">
        <f t="array" ref="CV188">IF(CV145="","",CV145/pli_2(CV136,'c'!$F$278,'c'!$M$278,TRUE,TRUE,"col",idum))</f>
        <v/>
      </c>
      <c r="CW188" t="str" cm="1">
        <f t="array" ref="CW188">IF(CW145="","",CW145/pli_2(CW136,'c'!$F$278,'c'!$M$278,TRUE,TRUE,"col",idum))</f>
        <v/>
      </c>
      <c r="CX188" t="str" cm="1">
        <f t="array" ref="CX188">IF(CX145="","",CX145/pli_2(CX136,'c'!$F$278,'c'!$M$278,TRUE,TRUE,"col",idum))</f>
        <v/>
      </c>
      <c r="CY188" t="str" cm="1">
        <f t="array" ref="CY188">IF(CY145="","",CY145/pli_2(CY136,'c'!$F$278,'c'!$M$278,TRUE,TRUE,"col",idum))</f>
        <v/>
      </c>
      <c r="CZ188" t="str" cm="1">
        <f t="array" ref="CZ188">IF(CZ145="","",CZ145/pli_2(CZ136,'c'!$F$278,'c'!$M$278,TRUE,TRUE,"col",idum))</f>
        <v/>
      </c>
      <c r="DA188" t="str" cm="1">
        <f t="array" ref="DA188">IF(DA145="","",DA145/pli_2(DA136,'c'!$F$278,'c'!$M$278,TRUE,TRUE,"col",idum))</f>
        <v/>
      </c>
      <c r="DB188" t="str" cm="1">
        <f t="array" ref="DB188">IF(DB145="","",DB145/pli_2(DB136,'c'!$F$278,'c'!$M$278,TRUE,TRUE,"col",idum))</f>
        <v/>
      </c>
      <c r="DC188" t="str" cm="1">
        <f t="array" ref="DC188">IF(DC145="","",DC145/pli_2(DC136,'c'!$F$278,'c'!$M$278,TRUE,TRUE,"col",idum))</f>
        <v/>
      </c>
      <c r="DD188" t="str" cm="1">
        <f t="array" ref="DD188">IF(DD145="","",DD145/pli_2(DD136,'c'!$F$278,'c'!$M$278,TRUE,TRUE,"col",idum))</f>
        <v/>
      </c>
      <c r="DE188" t="str" cm="1">
        <f t="array" ref="DE188">IF(DE145="","",DE145/pli_2(DE136,'c'!$F$278,'c'!$M$278,TRUE,TRUE,"col",idum))</f>
        <v/>
      </c>
      <c r="DF188" t="str" cm="1">
        <f t="array" ref="DF188">IF(DF145="","",DF145/pli_2(DF136,'c'!$F$278,'c'!$M$278,TRUE,TRUE,"col",idum))</f>
        <v/>
      </c>
      <c r="DG188" t="str" cm="1">
        <f t="array" ref="DG188">IF(DG145="","",DG145/pli_2(DG136,'c'!$F$278,'c'!$M$278,TRUE,TRUE,"col",idum))</f>
        <v/>
      </c>
      <c r="DH188" t="str" cm="1">
        <f t="array" ref="DH188">IF(DH145="","",DH145/pli_2(DH136,'c'!$F$278,'c'!$M$278,TRUE,TRUE,"col",idum))</f>
        <v/>
      </c>
      <c r="DI188" t="str" cm="1">
        <f t="array" ref="DI188">IF(DI145="","",DI145/pli_2(DI136,'c'!$F$278,'c'!$M$278,TRUE,TRUE,"col",idum))</f>
        <v/>
      </c>
      <c r="DJ188" t="str" cm="1">
        <f t="array" ref="DJ188">IF(DJ145="","",DJ145/pli_2(DJ136,'c'!$F$278,'c'!$M$278,TRUE,TRUE,"col",idum))</f>
        <v/>
      </c>
      <c r="DK188" t="str" cm="1">
        <f t="array" ref="DK188">IF(DK145="","",DK145/pli_2(DK136,'c'!$F$278,'c'!$M$278,TRUE,TRUE,"col",idum))</f>
        <v/>
      </c>
      <c r="DL188" t="str" cm="1">
        <f t="array" ref="DL188">IF(DL145="","",DL145/pli_2(DL136,'c'!$F$278,'c'!$M$278,TRUE,TRUE,"col",idum))</f>
        <v/>
      </c>
      <c r="DM188" cm="1">
        <f t="array" ref="DM188">IF(DM145="","",DM145/pli_2(DM136,'c'!$F$278,'c'!$M$278,TRUE,TRUE,"col",idum))</f>
        <v>0.21633547759256469</v>
      </c>
      <c r="DN188" cm="1">
        <f t="array" ref="DN188">IF(DN145="","",DN145/pli_2(DN136,'c'!$F$278,'c'!$M$278,TRUE,TRUE,"col",idum))</f>
        <v>0.19530571946732497</v>
      </c>
      <c r="DO188" cm="1">
        <f t="array" ref="DO188">IF(DO145="","",DO145/pli_2(DO136,'c'!$F$278,'c'!$M$278,TRUE,TRUE,"col",idum))</f>
        <v>0.14607809530745883</v>
      </c>
      <c r="DP188" t="str" cm="1">
        <f t="array" ref="DP188">IF(DP145="","",DP145/pli_2(DP136,'c'!$F$278,'c'!$M$278,TRUE,TRUE,"col",idum))</f>
        <v/>
      </c>
      <c r="DQ188" cm="1">
        <f t="array" ref="DQ188">IF(DQ145="","",DQ145/pli_2(DQ136,'c'!$F$278,'c'!$M$278,TRUE,TRUE,"col",idum))</f>
        <v>7.8214223888619552E-2</v>
      </c>
      <c r="DR188" t="str" cm="1">
        <f t="array" ref="DR188">IF(DR145="","",DR145/pli_2(DR136,'c'!$F$278,'c'!$M$278,TRUE,TRUE,"col",idum))</f>
        <v/>
      </c>
      <c r="DS188" t="str" cm="1">
        <f t="array" ref="DS188">IF(DS145="","",DS145/pli_2(DS136,'c'!$F$278,'c'!$M$278,TRUE,TRUE,"col",idum))</f>
        <v/>
      </c>
      <c r="DT188" t="str" cm="1">
        <f t="array" ref="DT188">IF(DT145="","",DT145/pli_2(DT136,'c'!$F$278,'c'!$M$278,TRUE,TRUE,"col",idum))</f>
        <v/>
      </c>
      <c r="DU188" t="str" cm="1">
        <f t="array" ref="DU188">IF(DU145="","",DU145/pli_2(DU136,'c'!$F$278,'c'!$M$278,TRUE,TRUE,"col",idum))</f>
        <v/>
      </c>
      <c r="DV188" cm="1">
        <f t="array" ref="DV188">IF(DV145="","",DV145/pli_2(DV136,'c'!$F$278,'c'!$M$278,TRUE,TRUE,"col",idum))</f>
        <v>4.251656497343359</v>
      </c>
      <c r="DW188" t="str" cm="1">
        <f t="array" ref="DW188">IF(DW145="","",DW145/pli_2(DW136,'c'!$F$278,'c'!$M$278,TRUE,TRUE,"col",idum))</f>
        <v/>
      </c>
      <c r="DX188" t="str" cm="1">
        <f t="array" ref="DX188">IF(DX145="","",DX145/pli_2(DX136,'c'!$F$278,'c'!$M$278,TRUE,TRUE,"col",idum))</f>
        <v/>
      </c>
      <c r="DY188" cm="1">
        <f t="array" ref="DY188">IF(DY145="","",DY145/pli_2(DY136,'c'!$F$278,'c'!$M$278,TRUE,TRUE,"col",idum))</f>
        <v>6.7768641726793453</v>
      </c>
      <c r="DZ188" cm="1">
        <f t="array" ref="DZ188">IF(DZ145="","",DZ145/pli_2(DZ136,'c'!$F$278,'c'!$M$278,TRUE,TRUE,"col",idum))</f>
        <v>3.4415072929577866</v>
      </c>
      <c r="EA188" cm="1">
        <f t="array" ref="EA188">IF(EA145="","",EA145/pli_2(EA136,'c'!$F$278,'c'!$M$278,TRUE,TRUE,"col",idum))</f>
        <v>1.6012756427906385</v>
      </c>
      <c r="EB188" cm="1">
        <f t="array" ref="EB188">IF(EB145="","",EB145/pli_2(EB136,'c'!$F$278,'c'!$M$278,TRUE,TRUE,"col",idum))</f>
        <v>2.4775441120562003</v>
      </c>
      <c r="EC188" t="str" cm="1">
        <f t="array" ref="EC188">IF(EC145="","",EC145/pli_2(EC136,'c'!$F$278,'c'!$M$278,TRUE,TRUE,"col",idum))</f>
        <v/>
      </c>
      <c r="ED188" t="str" cm="1">
        <f t="array" ref="ED188">IF(ED145="","",ED145/pli_2(ED136,'c'!$F$278,'c'!$M$278,TRUE,TRUE,"col",idum))</f>
        <v/>
      </c>
      <c r="EE188" t="str" cm="1">
        <f t="array" ref="EE188">IF(EE145="","",EE145/pli_2(EE136,'c'!$F$278,'c'!$M$278,TRUE,TRUE,"col",idum))</f>
        <v/>
      </c>
      <c r="EF188" t="str" cm="1">
        <f t="array" ref="EF188">IF(EF145="","",EF145/pli_2(EF136,'c'!$F$278,'c'!$M$278,TRUE,TRUE,"col",idum))</f>
        <v/>
      </c>
      <c r="EG188" t="str" cm="1">
        <f t="array" ref="EG188">IF(EG145="","",EG145/pli_2(EG136,'c'!$F$278,'c'!$M$278,TRUE,TRUE,"col",idum))</f>
        <v/>
      </c>
      <c r="EH188" t="str" cm="1">
        <f t="array" ref="EH188">IF(EH145="","",EH145/pli_2(EH136,'c'!$F$278,'c'!$M$278,TRUE,TRUE,"col",idum))</f>
        <v/>
      </c>
      <c r="EI188" t="str" cm="1">
        <f t="array" ref="EI188">IF(EI145="","",EI145/pli_2(EI136,'c'!$F$278,'c'!$M$278,TRUE,TRUE,"col",idum))</f>
        <v/>
      </c>
      <c r="EJ188" t="str" cm="1">
        <f t="array" ref="EJ188">IF(EJ145="","",EJ145/pli_2(EJ136,'c'!$F$278,'c'!$M$278,TRUE,TRUE,"col",idum))</f>
        <v/>
      </c>
      <c r="EK188" t="str" cm="1">
        <f t="array" ref="EK188">IF(EK145="","",EK145/pli_2(EK136,'c'!$F$278,'c'!$M$278,TRUE,TRUE,"col",idum))</f>
        <v/>
      </c>
      <c r="EL188" t="str" cm="1">
        <f t="array" ref="EL188">IF(EL145="","",EL145/pli_2(EL136,'c'!$F$278,'c'!$M$278,TRUE,TRUE,"col",idum))</f>
        <v/>
      </c>
    </row>
    <row r="189" spans="3:142" x14ac:dyDescent="0.2">
      <c r="C189" s="10">
        <f t="shared" ref="C189:C190" si="375">MIN(AF189:EL189)</f>
        <v>-3.1990346316333862</v>
      </c>
      <c r="D189" s="10">
        <f t="shared" ref="D189:D190" si="376">MAX(AF189:EL189)</f>
        <v>3.8647677965666425</v>
      </c>
      <c r="E189" s="10" cm="1">
        <f t="array" ref="E189">gavg(AF189,EL189)</f>
        <v>0.79596948956486269</v>
      </c>
      <c r="F189" s="10" cm="1">
        <f t="array" ref="F189">lnstdev(AF189,EL189)</f>
        <v>1.7808085019122619</v>
      </c>
      <c r="G189" s="10">
        <f t="shared" ref="G189:G190" si="377">COUNT(AF189:EL189)</f>
        <v>21</v>
      </c>
      <c r="H189" s="10">
        <f t="shared" ref="H189:H190" si="378">MIN(AF189:AO189)</f>
        <v>-1.8766506086510004</v>
      </c>
      <c r="I189" s="10">
        <f t="shared" ref="I189:I190" si="379">MAX(AF189:AO189)</f>
        <v>2.7486179235379736E-2</v>
      </c>
      <c r="J189" s="10"/>
      <c r="K189" s="10"/>
      <c r="L189" s="10">
        <f t="shared" ref="L189:L190" si="380">COUNT(AF189:AO189)</f>
        <v>4</v>
      </c>
      <c r="M189" s="10">
        <f t="shared" ref="M189:M190" si="381">MIN(AP189:BL189)</f>
        <v>-3.1990346316333862</v>
      </c>
      <c r="N189" s="10">
        <f t="shared" ref="N189:N190" si="382">MAX(AP189:BL189)</f>
        <v>-0.12453010754528196</v>
      </c>
      <c r="O189" s="10">
        <f t="shared" ref="O189:O190" si="383">COUNT(AP189:BL189)</f>
        <v>8</v>
      </c>
      <c r="P189" s="10">
        <f t="shared" ref="P189:P190" si="384">MIN(BM189:CO189)</f>
        <v>0</v>
      </c>
      <c r="Q189" s="10">
        <f t="shared" ref="Q189:Q190" si="385">MAX(BM189:CO189)</f>
        <v>0</v>
      </c>
      <c r="R189" s="10">
        <f t="shared" ref="R189:R190" si="386">COUNT(BM189:CO189)</f>
        <v>0</v>
      </c>
      <c r="S189" s="10">
        <f t="shared" ref="S189:S190" si="387">MIN(CP189:DT189)</f>
        <v>-1.1382766613043311</v>
      </c>
      <c r="T189" s="10">
        <f t="shared" ref="T189:T190" si="388">MAX(CP189:DT189)</f>
        <v>0.17648433612019704</v>
      </c>
      <c r="U189" s="10">
        <f t="shared" ref="U189:U190" si="389">COUNT(CP189:DT189)</f>
        <v>4</v>
      </c>
      <c r="V189" s="10">
        <f t="shared" si="351"/>
        <v>1.2670333743162743</v>
      </c>
      <c r="W189" s="10">
        <f t="shared" si="352"/>
        <v>3.8647677965666425</v>
      </c>
      <c r="X189" s="10">
        <f t="shared" si="353"/>
        <v>5</v>
      </c>
      <c r="Y189" s="10">
        <f t="shared" si="354"/>
        <v>2.376697009590814</v>
      </c>
      <c r="Z189" s="10">
        <f t="shared" si="355"/>
        <v>2.376697009590814</v>
      </c>
      <c r="AA189" s="10">
        <f t="shared" si="356"/>
        <v>1</v>
      </c>
      <c r="AB189" s="10">
        <f t="shared" si="357"/>
        <v>1.2670333743162743</v>
      </c>
      <c r="AC189" s="10">
        <f t="shared" si="358"/>
        <v>3.8647677965666425</v>
      </c>
      <c r="AD189" s="10">
        <f t="shared" si="359"/>
        <v>4</v>
      </c>
      <c r="AE189" s="5" t="s">
        <v>673</v>
      </c>
      <c r="AF189" t="str">
        <f t="shared" ref="AF189:BK189" si="390">IF(AF187="","",IF(AF136&gt;=0.6,LN(AF187),""))</f>
        <v/>
      </c>
      <c r="AG189" t="str">
        <f t="shared" si="390"/>
        <v/>
      </c>
      <c r="AH189" t="str">
        <f t="shared" si="390"/>
        <v/>
      </c>
      <c r="AI189" t="str">
        <f t="shared" si="390"/>
        <v/>
      </c>
      <c r="AJ189" t="str">
        <f t="shared" si="390"/>
        <v/>
      </c>
      <c r="AK189" t="str">
        <f t="shared" si="390"/>
        <v/>
      </c>
      <c r="AL189">
        <f t="shared" si="390"/>
        <v>2.7486179235379736E-2</v>
      </c>
      <c r="AM189">
        <f t="shared" si="390"/>
        <v>-3.0737169584894336E-2</v>
      </c>
      <c r="AN189">
        <f t="shared" si="390"/>
        <v>-0.79856517257917803</v>
      </c>
      <c r="AO189">
        <f t="shared" si="390"/>
        <v>-1.8766506086510004</v>
      </c>
      <c r="AP189">
        <f t="shared" si="390"/>
        <v>-1.5944393049303407</v>
      </c>
      <c r="AQ189">
        <f t="shared" si="390"/>
        <v>-3.1990346316333862</v>
      </c>
      <c r="AR189">
        <f t="shared" si="390"/>
        <v>-2.2364250967579333</v>
      </c>
      <c r="AS189">
        <f t="shared" si="390"/>
        <v>-1.4629638838233774</v>
      </c>
      <c r="AT189">
        <f t="shared" si="390"/>
        <v>-0.12453010754528196</v>
      </c>
      <c r="AU189" t="str">
        <f t="shared" si="390"/>
        <v/>
      </c>
      <c r="AV189" t="str">
        <f t="shared" si="390"/>
        <v/>
      </c>
      <c r="AW189" t="str">
        <f t="shared" si="390"/>
        <v/>
      </c>
      <c r="AX189" t="str">
        <f t="shared" si="390"/>
        <v/>
      </c>
      <c r="AY189" t="str">
        <f t="shared" si="390"/>
        <v/>
      </c>
      <c r="AZ189" t="str">
        <f t="shared" si="390"/>
        <v/>
      </c>
      <c r="BA189" t="str">
        <f t="shared" si="390"/>
        <v/>
      </c>
      <c r="BB189" t="str">
        <f t="shared" si="390"/>
        <v/>
      </c>
      <c r="BC189" t="str">
        <f t="shared" si="390"/>
        <v/>
      </c>
      <c r="BD189" t="str">
        <f t="shared" si="390"/>
        <v/>
      </c>
      <c r="BE189" t="str">
        <f t="shared" si="390"/>
        <v/>
      </c>
      <c r="BF189" t="str">
        <f t="shared" si="390"/>
        <v/>
      </c>
      <c r="BG189" t="str">
        <f t="shared" si="390"/>
        <v/>
      </c>
      <c r="BH189" t="str">
        <f t="shared" si="390"/>
        <v/>
      </c>
      <c r="BI189">
        <f t="shared" si="390"/>
        <v>-0.4751513952753238</v>
      </c>
      <c r="BJ189">
        <f t="shared" si="390"/>
        <v>-1.4144631686910651</v>
      </c>
      <c r="BK189">
        <f t="shared" si="390"/>
        <v>-3.0290616298570825</v>
      </c>
      <c r="BL189" t="str">
        <f t="shared" ref="BL189:CQ189" si="391">IF(BL187="","",IF(BL136&gt;=0.6,LN(BL187),""))</f>
        <v/>
      </c>
      <c r="BM189" t="str">
        <f t="shared" si="391"/>
        <v/>
      </c>
      <c r="BN189" t="str">
        <f t="shared" si="391"/>
        <v/>
      </c>
      <c r="BO189" t="str">
        <f t="shared" si="391"/>
        <v/>
      </c>
      <c r="BP189" t="str">
        <f t="shared" si="391"/>
        <v/>
      </c>
      <c r="BQ189" t="str">
        <f t="shared" si="391"/>
        <v/>
      </c>
      <c r="BR189" t="str">
        <f t="shared" si="391"/>
        <v/>
      </c>
      <c r="BS189" t="str">
        <f t="shared" si="391"/>
        <v/>
      </c>
      <c r="BT189" t="str">
        <f t="shared" si="391"/>
        <v/>
      </c>
      <c r="BU189" t="str">
        <f t="shared" si="391"/>
        <v/>
      </c>
      <c r="BV189" t="str">
        <f t="shared" si="391"/>
        <v/>
      </c>
      <c r="BW189" t="str">
        <f t="shared" si="391"/>
        <v/>
      </c>
      <c r="BX189" t="str">
        <f t="shared" si="391"/>
        <v/>
      </c>
      <c r="BY189" t="str">
        <f t="shared" si="391"/>
        <v/>
      </c>
      <c r="BZ189" t="str">
        <f t="shared" si="391"/>
        <v/>
      </c>
      <c r="CA189" t="str">
        <f t="shared" si="391"/>
        <v/>
      </c>
      <c r="CB189" t="str">
        <f t="shared" si="391"/>
        <v/>
      </c>
      <c r="CC189" t="str">
        <f t="shared" si="391"/>
        <v/>
      </c>
      <c r="CD189" t="str">
        <f t="shared" si="391"/>
        <v/>
      </c>
      <c r="CE189" t="str">
        <f t="shared" si="391"/>
        <v/>
      </c>
      <c r="CF189" t="str">
        <f t="shared" si="391"/>
        <v/>
      </c>
      <c r="CG189" t="str">
        <f t="shared" si="391"/>
        <v/>
      </c>
      <c r="CH189" t="str">
        <f t="shared" si="391"/>
        <v/>
      </c>
      <c r="CI189" t="str">
        <f t="shared" si="391"/>
        <v/>
      </c>
      <c r="CJ189" t="str">
        <f t="shared" si="391"/>
        <v/>
      </c>
      <c r="CK189" t="str">
        <f t="shared" si="391"/>
        <v/>
      </c>
      <c r="CL189" t="str">
        <f t="shared" si="391"/>
        <v/>
      </c>
      <c r="CM189" t="str">
        <f t="shared" si="391"/>
        <v/>
      </c>
      <c r="CN189" t="str">
        <f t="shared" si="391"/>
        <v/>
      </c>
      <c r="CO189" t="str">
        <f t="shared" si="391"/>
        <v/>
      </c>
      <c r="CP189" t="str">
        <f t="shared" si="391"/>
        <v/>
      </c>
      <c r="CQ189" t="str">
        <f t="shared" si="391"/>
        <v/>
      </c>
      <c r="CR189" t="str">
        <f t="shared" ref="CR189:DW189" si="392">IF(CR187="","",IF(CR136&gt;=0.6,LN(CR187),""))</f>
        <v/>
      </c>
      <c r="CS189" t="str">
        <f t="shared" si="392"/>
        <v/>
      </c>
      <c r="CT189" t="str">
        <f t="shared" si="392"/>
        <v/>
      </c>
      <c r="CU189" t="str">
        <f t="shared" si="392"/>
        <v/>
      </c>
      <c r="CV189" t="str">
        <f t="shared" si="392"/>
        <v/>
      </c>
      <c r="CW189" t="str">
        <f t="shared" si="392"/>
        <v/>
      </c>
      <c r="CX189" t="str">
        <f t="shared" si="392"/>
        <v/>
      </c>
      <c r="CY189" t="str">
        <f t="shared" si="392"/>
        <v/>
      </c>
      <c r="CZ189" t="str">
        <f t="shared" si="392"/>
        <v/>
      </c>
      <c r="DA189" t="str">
        <f t="shared" si="392"/>
        <v/>
      </c>
      <c r="DB189" t="str">
        <f t="shared" si="392"/>
        <v/>
      </c>
      <c r="DC189" t="str">
        <f t="shared" si="392"/>
        <v/>
      </c>
      <c r="DD189" t="str">
        <f t="shared" si="392"/>
        <v/>
      </c>
      <c r="DE189" t="str">
        <f t="shared" si="392"/>
        <v/>
      </c>
      <c r="DF189" t="str">
        <f t="shared" si="392"/>
        <v/>
      </c>
      <c r="DG189" t="str">
        <f t="shared" si="392"/>
        <v/>
      </c>
      <c r="DH189" t="str">
        <f t="shared" si="392"/>
        <v/>
      </c>
      <c r="DI189" t="str">
        <f t="shared" si="392"/>
        <v/>
      </c>
      <c r="DJ189" t="str">
        <f t="shared" si="392"/>
        <v/>
      </c>
      <c r="DK189" t="str">
        <f t="shared" si="392"/>
        <v/>
      </c>
      <c r="DL189" t="str">
        <f t="shared" si="392"/>
        <v/>
      </c>
      <c r="DM189">
        <f t="shared" si="392"/>
        <v>-0.64527205026860912</v>
      </c>
      <c r="DN189">
        <f t="shared" si="392"/>
        <v>-0.50741686108129658</v>
      </c>
      <c r="DO189">
        <f t="shared" si="392"/>
        <v>0.17648433612019704</v>
      </c>
      <c r="DP189" t="str">
        <f t="shared" si="392"/>
        <v/>
      </c>
      <c r="DQ189">
        <f t="shared" si="392"/>
        <v>-1.1382766613043311</v>
      </c>
      <c r="DR189" t="str">
        <f t="shared" si="392"/>
        <v/>
      </c>
      <c r="DS189" t="str">
        <f t="shared" si="392"/>
        <v/>
      </c>
      <c r="DT189" t="str">
        <f t="shared" si="392"/>
        <v/>
      </c>
      <c r="DU189" t="str">
        <f t="shared" si="392"/>
        <v/>
      </c>
      <c r="DV189">
        <f t="shared" si="392"/>
        <v>2.376697009590814</v>
      </c>
      <c r="DW189" t="str">
        <f t="shared" si="392"/>
        <v/>
      </c>
      <c r="DX189" t="str">
        <f t="shared" ref="DX189:EL189" si="393">IF(DX187="","",IF(DX136&gt;=0.6,LN(DX187),""))</f>
        <v/>
      </c>
      <c r="DY189">
        <f t="shared" si="393"/>
        <v>3.8647677965666425</v>
      </c>
      <c r="DZ189">
        <f t="shared" si="393"/>
        <v>1.7228559211748344</v>
      </c>
      <c r="EA189">
        <f t="shared" si="393"/>
        <v>1.2670333743162743</v>
      </c>
      <c r="EB189">
        <f t="shared" si="393"/>
        <v>2.0812304325642228</v>
      </c>
      <c r="EC189" t="str">
        <f t="shared" si="393"/>
        <v/>
      </c>
      <c r="ED189" t="str">
        <f t="shared" si="393"/>
        <v/>
      </c>
      <c r="EE189" t="str">
        <f t="shared" si="393"/>
        <v/>
      </c>
      <c r="EF189" t="str">
        <f t="shared" si="393"/>
        <v/>
      </c>
      <c r="EG189" t="str">
        <f t="shared" si="393"/>
        <v/>
      </c>
      <c r="EH189" t="str">
        <f t="shared" si="393"/>
        <v/>
      </c>
      <c r="EI189" t="str">
        <f t="shared" si="393"/>
        <v/>
      </c>
      <c r="EJ189" t="str">
        <f t="shared" si="393"/>
        <v/>
      </c>
      <c r="EK189" t="str">
        <f t="shared" si="393"/>
        <v/>
      </c>
      <c r="EL189" t="str">
        <f t="shared" si="393"/>
        <v/>
      </c>
    </row>
    <row r="190" spans="3:142" x14ac:dyDescent="0.2">
      <c r="C190" s="10">
        <f t="shared" si="375"/>
        <v>-3.2805082104600629</v>
      </c>
      <c r="D190" s="10">
        <f t="shared" si="376"/>
        <v>1.9135144835566873</v>
      </c>
      <c r="E190" s="10" cm="1">
        <f t="array" ref="E190">gavg(AF190,EL190)</f>
        <v>1.0789229191556271</v>
      </c>
      <c r="F190" s="10" cm="1">
        <f t="array" ref="F190">lnstdev(AF190,EL190)</f>
        <v>0.53637217968864181</v>
      </c>
      <c r="G190" s="10">
        <f t="shared" si="377"/>
        <v>21</v>
      </c>
      <c r="H190" s="10">
        <f t="shared" si="378"/>
        <v>-2.1877711408384912</v>
      </c>
      <c r="I190" s="10">
        <f t="shared" si="379"/>
        <v>-0.42715463163403422</v>
      </c>
      <c r="J190" s="10"/>
      <c r="K190" s="10"/>
      <c r="L190" s="10">
        <f t="shared" si="380"/>
        <v>4</v>
      </c>
      <c r="M190" s="10">
        <f t="shared" si="381"/>
        <v>-3.2805082104600629</v>
      </c>
      <c r="N190" s="10">
        <f t="shared" si="382"/>
        <v>-0.12596768231956337</v>
      </c>
      <c r="O190" s="10">
        <f t="shared" si="383"/>
        <v>8</v>
      </c>
      <c r="P190" s="10">
        <f t="shared" si="384"/>
        <v>0</v>
      </c>
      <c r="Q190" s="10">
        <f t="shared" si="385"/>
        <v>0</v>
      </c>
      <c r="R190" s="10">
        <f t="shared" si="386"/>
        <v>0</v>
      </c>
      <c r="S190" s="10">
        <f t="shared" si="387"/>
        <v>-2.5483037568122451</v>
      </c>
      <c r="T190" s="10">
        <f t="shared" si="388"/>
        <v>-1.5309249391652415</v>
      </c>
      <c r="U190" s="10">
        <f t="shared" si="389"/>
        <v>4</v>
      </c>
      <c r="V190" s="10">
        <f t="shared" si="351"/>
        <v>0.47080058833360999</v>
      </c>
      <c r="W190" s="10">
        <f t="shared" si="352"/>
        <v>1.9135144835566873</v>
      </c>
      <c r="X190" s="10">
        <f t="shared" si="353"/>
        <v>5</v>
      </c>
      <c r="Y190" s="10">
        <f t="shared" si="354"/>
        <v>1.4473086710788279</v>
      </c>
      <c r="Z190" s="10">
        <f t="shared" si="355"/>
        <v>1.4473086710788279</v>
      </c>
      <c r="AA190" s="10">
        <f t="shared" si="356"/>
        <v>1</v>
      </c>
      <c r="AB190" s="10">
        <f t="shared" si="357"/>
        <v>0.47080058833360999</v>
      </c>
      <c r="AC190" s="10">
        <f t="shared" si="358"/>
        <v>1.9135144835566873</v>
      </c>
      <c r="AD190" s="10">
        <f t="shared" si="359"/>
        <v>4</v>
      </c>
      <c r="AE190" s="5" t="s">
        <v>674</v>
      </c>
      <c r="AF190" t="str">
        <f t="shared" ref="AF190:BK190" si="394">IF(AF188="","",IF(AF136&gt;=0.6,LN(AF188),""))</f>
        <v/>
      </c>
      <c r="AG190" t="str">
        <f t="shared" si="394"/>
        <v/>
      </c>
      <c r="AH190" t="str">
        <f t="shared" si="394"/>
        <v/>
      </c>
      <c r="AI190" t="str">
        <f t="shared" si="394"/>
        <v/>
      </c>
      <c r="AJ190" t="str">
        <f t="shared" si="394"/>
        <v/>
      </c>
      <c r="AK190" t="str">
        <f t="shared" si="394"/>
        <v/>
      </c>
      <c r="AL190">
        <f t="shared" si="394"/>
        <v>-0.42715463163403422</v>
      </c>
      <c r="AM190">
        <f t="shared" si="394"/>
        <v>-0.78107509251129281</v>
      </c>
      <c r="AN190">
        <f t="shared" si="394"/>
        <v>-1.8863801811793628</v>
      </c>
      <c r="AO190">
        <f t="shared" si="394"/>
        <v>-2.1877711408384912</v>
      </c>
      <c r="AP190">
        <f t="shared" si="394"/>
        <v>-1.5967302174357281</v>
      </c>
      <c r="AQ190">
        <f t="shared" si="394"/>
        <v>-1.0452774156887739</v>
      </c>
      <c r="AR190">
        <f t="shared" si="394"/>
        <v>-3.1422618429922902</v>
      </c>
      <c r="AS190">
        <f t="shared" si="394"/>
        <v>-2.9660738425229152</v>
      </c>
      <c r="AT190">
        <f t="shared" si="394"/>
        <v>-3.2805082104600629</v>
      </c>
      <c r="AU190" t="str">
        <f t="shared" si="394"/>
        <v/>
      </c>
      <c r="AV190" t="str">
        <f t="shared" si="394"/>
        <v/>
      </c>
      <c r="AW190" t="str">
        <f t="shared" si="394"/>
        <v/>
      </c>
      <c r="AX190" t="str">
        <f t="shared" si="394"/>
        <v/>
      </c>
      <c r="AY190" t="str">
        <f t="shared" si="394"/>
        <v/>
      </c>
      <c r="AZ190" t="str">
        <f t="shared" si="394"/>
        <v/>
      </c>
      <c r="BA190" t="str">
        <f t="shared" si="394"/>
        <v/>
      </c>
      <c r="BB190" t="str">
        <f t="shared" si="394"/>
        <v/>
      </c>
      <c r="BC190" t="str">
        <f t="shared" si="394"/>
        <v/>
      </c>
      <c r="BD190" t="str">
        <f t="shared" si="394"/>
        <v/>
      </c>
      <c r="BE190" t="str">
        <f t="shared" si="394"/>
        <v/>
      </c>
      <c r="BF190" t="str">
        <f t="shared" si="394"/>
        <v/>
      </c>
      <c r="BG190" t="str">
        <f t="shared" si="394"/>
        <v/>
      </c>
      <c r="BH190" t="str">
        <f t="shared" si="394"/>
        <v/>
      </c>
      <c r="BI190">
        <f t="shared" si="394"/>
        <v>-0.12596768231956337</v>
      </c>
      <c r="BJ190">
        <f t="shared" si="394"/>
        <v>-1.899694567640217</v>
      </c>
      <c r="BK190">
        <f t="shared" si="394"/>
        <v>-0.9897908092877562</v>
      </c>
      <c r="BL190" t="str">
        <f t="shared" ref="BL190:CQ190" si="395">IF(BL188="","",IF(BL136&gt;=0.6,LN(BL188),""))</f>
        <v/>
      </c>
      <c r="BM190" t="str">
        <f t="shared" si="395"/>
        <v/>
      </c>
      <c r="BN190" t="str">
        <f t="shared" si="395"/>
        <v/>
      </c>
      <c r="BO190" t="str">
        <f t="shared" si="395"/>
        <v/>
      </c>
      <c r="BP190" t="str">
        <f t="shared" si="395"/>
        <v/>
      </c>
      <c r="BQ190" t="str">
        <f t="shared" si="395"/>
        <v/>
      </c>
      <c r="BR190" t="str">
        <f t="shared" si="395"/>
        <v/>
      </c>
      <c r="BS190" t="str">
        <f t="shared" si="395"/>
        <v/>
      </c>
      <c r="BT190" t="str">
        <f t="shared" si="395"/>
        <v/>
      </c>
      <c r="BU190" t="str">
        <f t="shared" si="395"/>
        <v/>
      </c>
      <c r="BV190" t="str">
        <f t="shared" si="395"/>
        <v/>
      </c>
      <c r="BW190" t="str">
        <f t="shared" si="395"/>
        <v/>
      </c>
      <c r="BX190" t="str">
        <f t="shared" si="395"/>
        <v/>
      </c>
      <c r="BY190" t="str">
        <f t="shared" si="395"/>
        <v/>
      </c>
      <c r="BZ190" t="str">
        <f t="shared" si="395"/>
        <v/>
      </c>
      <c r="CA190" t="str">
        <f t="shared" si="395"/>
        <v/>
      </c>
      <c r="CB190" t="str">
        <f t="shared" si="395"/>
        <v/>
      </c>
      <c r="CC190" t="str">
        <f t="shared" si="395"/>
        <v/>
      </c>
      <c r="CD190" t="str">
        <f t="shared" si="395"/>
        <v/>
      </c>
      <c r="CE190" t="str">
        <f t="shared" si="395"/>
        <v/>
      </c>
      <c r="CF190" t="str">
        <f t="shared" si="395"/>
        <v/>
      </c>
      <c r="CG190" t="str">
        <f t="shared" si="395"/>
        <v/>
      </c>
      <c r="CH190" t="str">
        <f t="shared" si="395"/>
        <v/>
      </c>
      <c r="CI190" t="str">
        <f t="shared" si="395"/>
        <v/>
      </c>
      <c r="CJ190" t="str">
        <f t="shared" si="395"/>
        <v/>
      </c>
      <c r="CK190" t="str">
        <f t="shared" si="395"/>
        <v/>
      </c>
      <c r="CL190" t="str">
        <f t="shared" si="395"/>
        <v/>
      </c>
      <c r="CM190" t="str">
        <f t="shared" si="395"/>
        <v/>
      </c>
      <c r="CN190" t="str">
        <f t="shared" si="395"/>
        <v/>
      </c>
      <c r="CO190" t="str">
        <f t="shared" si="395"/>
        <v/>
      </c>
      <c r="CP190" t="str">
        <f t="shared" si="395"/>
        <v/>
      </c>
      <c r="CQ190" t="str">
        <f t="shared" si="395"/>
        <v/>
      </c>
      <c r="CR190" t="str">
        <f t="shared" ref="CR190:DW190" si="396">IF(CR188="","",IF(CR136&gt;=0.6,LN(CR188),""))</f>
        <v/>
      </c>
      <c r="CS190" t="str">
        <f t="shared" si="396"/>
        <v/>
      </c>
      <c r="CT190" t="str">
        <f t="shared" si="396"/>
        <v/>
      </c>
      <c r="CU190" t="str">
        <f t="shared" si="396"/>
        <v/>
      </c>
      <c r="CV190" t="str">
        <f t="shared" si="396"/>
        <v/>
      </c>
      <c r="CW190" t="str">
        <f t="shared" si="396"/>
        <v/>
      </c>
      <c r="CX190" t="str">
        <f t="shared" si="396"/>
        <v/>
      </c>
      <c r="CY190" t="str">
        <f t="shared" si="396"/>
        <v/>
      </c>
      <c r="CZ190" t="str">
        <f t="shared" si="396"/>
        <v/>
      </c>
      <c r="DA190" t="str">
        <f t="shared" si="396"/>
        <v/>
      </c>
      <c r="DB190" t="str">
        <f t="shared" si="396"/>
        <v/>
      </c>
      <c r="DC190" t="str">
        <f t="shared" si="396"/>
        <v/>
      </c>
      <c r="DD190" t="str">
        <f t="shared" si="396"/>
        <v/>
      </c>
      <c r="DE190" t="str">
        <f t="shared" si="396"/>
        <v/>
      </c>
      <c r="DF190" t="str">
        <f t="shared" si="396"/>
        <v/>
      </c>
      <c r="DG190" t="str">
        <f t="shared" si="396"/>
        <v/>
      </c>
      <c r="DH190" t="str">
        <f t="shared" si="396"/>
        <v/>
      </c>
      <c r="DI190" t="str">
        <f t="shared" si="396"/>
        <v/>
      </c>
      <c r="DJ190" t="str">
        <f t="shared" si="396"/>
        <v/>
      </c>
      <c r="DK190" t="str">
        <f t="shared" si="396"/>
        <v/>
      </c>
      <c r="DL190" t="str">
        <f t="shared" si="396"/>
        <v/>
      </c>
      <c r="DM190">
        <f t="shared" si="396"/>
        <v>-1.5309249391652415</v>
      </c>
      <c r="DN190">
        <f t="shared" si="396"/>
        <v>-1.6331891559813383</v>
      </c>
      <c r="DO190">
        <f t="shared" si="396"/>
        <v>-1.9236139009153159</v>
      </c>
      <c r="DP190" t="str">
        <f t="shared" si="396"/>
        <v/>
      </c>
      <c r="DQ190">
        <f t="shared" si="396"/>
        <v>-2.5483037568122451</v>
      </c>
      <c r="DR190" t="str">
        <f t="shared" si="396"/>
        <v/>
      </c>
      <c r="DS190" t="str">
        <f t="shared" si="396"/>
        <v/>
      </c>
      <c r="DT190" t="str">
        <f t="shared" si="396"/>
        <v/>
      </c>
      <c r="DU190" t="str">
        <f t="shared" si="396"/>
        <v/>
      </c>
      <c r="DV190">
        <f t="shared" si="396"/>
        <v>1.4473086710788279</v>
      </c>
      <c r="DW190" t="str">
        <f t="shared" si="396"/>
        <v/>
      </c>
      <c r="DX190" t="str">
        <f t="shared" ref="DX190:EL190" si="397">IF(DX188="","",IF(DX136&gt;=0.6,LN(DX188),""))</f>
        <v/>
      </c>
      <c r="DY190">
        <f t="shared" si="397"/>
        <v>1.9135144835566873</v>
      </c>
      <c r="DZ190">
        <f t="shared" si="397"/>
        <v>1.235909541975869</v>
      </c>
      <c r="EA190">
        <f t="shared" si="397"/>
        <v>0.47080058833360999</v>
      </c>
      <c r="EB190">
        <f t="shared" si="397"/>
        <v>0.90726779213159059</v>
      </c>
      <c r="EC190" t="str">
        <f t="shared" si="397"/>
        <v/>
      </c>
      <c r="ED190" t="str">
        <f t="shared" si="397"/>
        <v/>
      </c>
      <c r="EE190" t="str">
        <f t="shared" si="397"/>
        <v/>
      </c>
      <c r="EF190" t="str">
        <f t="shared" si="397"/>
        <v/>
      </c>
      <c r="EG190" t="str">
        <f t="shared" si="397"/>
        <v/>
      </c>
      <c r="EH190" t="str">
        <f t="shared" si="397"/>
        <v/>
      </c>
      <c r="EI190" t="str">
        <f t="shared" si="397"/>
        <v/>
      </c>
      <c r="EJ190" t="str">
        <f t="shared" si="397"/>
        <v/>
      </c>
      <c r="EK190" t="str">
        <f t="shared" si="397"/>
        <v/>
      </c>
      <c r="EL190" t="str">
        <f t="shared" si="397"/>
        <v/>
      </c>
    </row>
    <row r="193" spans="6:6" x14ac:dyDescent="0.2">
      <c r="F193">
        <f>F187/nfat</f>
        <v>0.48069985780955465</v>
      </c>
    </row>
    <row r="194" spans="6:6" x14ac:dyDescent="0.2">
      <c r="F194">
        <f>F188/nfat</f>
        <v>0.41129643840517266</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9" r:id="rId3" name="Button 3">
              <controlPr defaultSize="0" print="0" autoFill="0" autoPict="0" macro="[0]!run_gsensir">
                <anchor moveWithCells="1">
                  <from>
                    <xdr:col>30</xdr:col>
                    <xdr:colOff>66675</xdr:colOff>
                    <xdr:row>0</xdr:row>
                    <xdr:rowOff>38100</xdr:rowOff>
                  </from>
                  <to>
                    <xdr:col>31</xdr:col>
                    <xdr:colOff>619125</xdr:colOff>
                    <xdr:row>1</xdr:row>
                    <xdr:rowOff>47625</xdr:rowOff>
                  </to>
                </anchor>
              </controlPr>
            </control>
          </mc:Choice>
        </mc:AlternateContent>
        <mc:AlternateContent xmlns:mc="http://schemas.openxmlformats.org/markup-compatibility/2006">
          <mc:Choice Requires="x14">
            <control shapeId="4103" r:id="rId4" name="Button 7">
              <controlPr defaultSize="0" print="0" autoFill="0" autoPict="0" macro="[0]!DelExCases">
                <anchor moveWithCells="1">
                  <from>
                    <xdr:col>31</xdr:col>
                    <xdr:colOff>828675</xdr:colOff>
                    <xdr:row>0</xdr:row>
                    <xdr:rowOff>57150</xdr:rowOff>
                  </from>
                  <to>
                    <xdr:col>33</xdr:col>
                    <xdr:colOff>866775</xdr:colOff>
                    <xdr:row>1</xdr:row>
                    <xdr:rowOff>47625</xdr:rowOff>
                  </to>
                </anchor>
              </controlPr>
            </control>
          </mc:Choice>
        </mc:AlternateContent>
        <mc:AlternateContent xmlns:mc="http://schemas.openxmlformats.org/markup-compatibility/2006">
          <mc:Choice Requires="x14">
            <control shapeId="4116" r:id="rId5" name="Button 20">
              <controlPr defaultSize="0" print="0" autoFill="0" autoPict="0" macro="[0]!DelPrCases">
                <anchor moveWithCells="1">
                  <from>
                    <xdr:col>34</xdr:col>
                    <xdr:colOff>161925</xdr:colOff>
                    <xdr:row>0</xdr:row>
                    <xdr:rowOff>38100</xdr:rowOff>
                  </from>
                  <to>
                    <xdr:col>36</xdr:col>
                    <xdr:colOff>752475</xdr:colOff>
                    <xdr:row>1</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0CB4F-4CAA-4DC7-83F9-AB08E6E16410}">
  <sheetPr codeName="Sheet5"/>
  <dimension ref="A1"/>
  <sheetViews>
    <sheetView zoomScale="25" zoomScaleNormal="25" workbookViewId="0">
      <selection activeCell="Q134" sqref="Q134"/>
    </sheetView>
  </sheetViews>
  <sheetFormatPr defaultRowHeight="12.75" x14ac:dyDescent="0.2"/>
  <cols>
    <col min="1" max="2" width="1.7109375" customWidth="1"/>
  </cols>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33A39-62D6-4D36-92D5-D7B4137A566C}">
  <sheetPr codeName="Sheet4"/>
  <dimension ref="E68:HT138"/>
  <sheetViews>
    <sheetView tabSelected="1" topLeftCell="O175" zoomScaleNormal="100" workbookViewId="0">
      <selection activeCell="AA223" sqref="AA223"/>
    </sheetView>
  </sheetViews>
  <sheetFormatPr defaultRowHeight="12.75" x14ac:dyDescent="0.2"/>
  <cols>
    <col min="1" max="2" width="1.7109375" customWidth="1"/>
    <col min="13" max="13" width="12.42578125" bestFit="1" customWidth="1"/>
    <col min="14" max="14" width="13.140625" bestFit="1" customWidth="1"/>
  </cols>
  <sheetData>
    <row r="68" spans="228:228" x14ac:dyDescent="0.2">
      <c r="HT68">
        <v>6.35</v>
      </c>
    </row>
    <row r="69" spans="228:228" x14ac:dyDescent="0.2">
      <c r="HT69">
        <v>10.583333331995629</v>
      </c>
    </row>
    <row r="70" spans="228:228" x14ac:dyDescent="0.2">
      <c r="HT70">
        <f>HT68/HT69</f>
        <v>0.60000000007583831</v>
      </c>
    </row>
    <row r="71" spans="228:228" x14ac:dyDescent="0.2">
      <c r="HT71">
        <f>1-HT70</f>
        <v>0.39999999992416169</v>
      </c>
    </row>
    <row r="72" spans="228:228" x14ac:dyDescent="0.2">
      <c r="HT72">
        <f>HT71/0.15</f>
        <v>2.6666666661610781</v>
      </c>
    </row>
    <row r="89" spans="10:13" x14ac:dyDescent="0.2">
      <c r="J89" s="5"/>
    </row>
    <row r="95" spans="10:13" x14ac:dyDescent="0.2">
      <c r="J95" s="5"/>
      <c r="M95" s="17"/>
    </row>
    <row r="99" spans="10:13" x14ac:dyDescent="0.2">
      <c r="J99" s="5"/>
      <c r="M99" s="18"/>
    </row>
    <row r="103" spans="10:13" x14ac:dyDescent="0.2">
      <c r="J103" s="5"/>
    </row>
    <row r="132" spans="5:24" x14ac:dyDescent="0.2">
      <c r="X132">
        <f>2^(1/nfat)</f>
        <v>1.2036197451768704</v>
      </c>
    </row>
    <row r="136" spans="5:24" x14ac:dyDescent="0.2">
      <c r="E136" s="35"/>
    </row>
    <row r="137" spans="5:24" x14ac:dyDescent="0.2">
      <c r="E137" s="35"/>
    </row>
    <row r="138" spans="5:24" x14ac:dyDescent="0.2">
      <c r="E138" s="35"/>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FAB38-7E06-4058-B0C8-C756F3E0C8EB}">
  <sheetPr codeName="Sheet6"/>
  <dimension ref="X99:AG221"/>
  <sheetViews>
    <sheetView topLeftCell="A25" zoomScale="50" zoomScaleNormal="50" workbookViewId="0">
      <selection activeCell="A218" sqref="A218"/>
    </sheetView>
  </sheetViews>
  <sheetFormatPr defaultRowHeight="12.75" x14ac:dyDescent="0.2"/>
  <cols>
    <col min="1" max="2" width="1.7109375" customWidth="1"/>
  </cols>
  <sheetData>
    <row r="99" spans="24:27" x14ac:dyDescent="0.2">
      <c r="X99">
        <v>11</v>
      </c>
      <c r="Y99">
        <v>5</v>
      </c>
      <c r="AA99">
        <f>X100/X99</f>
        <v>1.6818181818181819</v>
      </c>
    </row>
    <row r="100" spans="24:27" x14ac:dyDescent="0.2">
      <c r="X100">
        <v>18.5</v>
      </c>
      <c r="Y100">
        <f>Y99</f>
        <v>5</v>
      </c>
      <c r="AA100">
        <f>Y101/Y100</f>
        <v>2</v>
      </c>
    </row>
    <row r="101" spans="24:27" x14ac:dyDescent="0.2">
      <c r="X101">
        <f>X100</f>
        <v>18.5</v>
      </c>
      <c r="Y101">
        <v>10</v>
      </c>
    </row>
    <row r="102" spans="24:27" x14ac:dyDescent="0.2">
      <c r="X102">
        <f>X99</f>
        <v>11</v>
      </c>
      <c r="Y102">
        <f>Y101</f>
        <v>10</v>
      </c>
    </row>
    <row r="103" spans="24:27" x14ac:dyDescent="0.2">
      <c r="X103">
        <f>X99</f>
        <v>11</v>
      </c>
      <c r="Y103">
        <f>Y99</f>
        <v>5</v>
      </c>
    </row>
    <row r="220" spans="31:33" x14ac:dyDescent="0.2">
      <c r="AE220">
        <v>0.3</v>
      </c>
      <c r="AF220">
        <f>AE220*180/PI()</f>
        <v>17.188733853924695</v>
      </c>
    </row>
    <row r="221" spans="31:33" x14ac:dyDescent="0.2">
      <c r="AE221">
        <v>0.4</v>
      </c>
      <c r="AF221">
        <f>AE221*180/PI()</f>
        <v>22.918311805232928</v>
      </c>
      <c r="AG221">
        <f>COS(AE221)</f>
        <v>0.9210609940028851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73CF0-DD78-4D7D-B6CB-674C362792EE}">
  <sheetPr codeName="Sheet11"/>
  <dimension ref="A36:Z78"/>
  <sheetViews>
    <sheetView topLeftCell="B38" zoomScaleNormal="100" workbookViewId="0">
      <selection activeCell="B75" sqref="B75"/>
    </sheetView>
  </sheetViews>
  <sheetFormatPr defaultRowHeight="15" x14ac:dyDescent="0.2"/>
  <cols>
    <col min="1" max="1" width="1.7109375" style="24" customWidth="1"/>
    <col min="2" max="2" width="1.7109375" style="25" customWidth="1"/>
  </cols>
  <sheetData>
    <row r="36" spans="23:23" x14ac:dyDescent="0.2">
      <c r="W36" s="5" t="s">
        <v>670</v>
      </c>
    </row>
    <row r="76" spans="3:26" x14ac:dyDescent="0.2">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3:26" x14ac:dyDescent="0.2">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3:26" x14ac:dyDescent="0.2">
      <c r="C78" s="10"/>
      <c r="D78" s="10"/>
      <c r="E78" s="10"/>
      <c r="F78" s="10"/>
      <c r="G78" s="10"/>
      <c r="H78" s="10"/>
      <c r="I78" s="10"/>
      <c r="J78" s="10"/>
      <c r="K78" s="10"/>
      <c r="L78" s="10"/>
      <c r="M78" s="10"/>
      <c r="N78" s="10"/>
      <c r="O78" s="10"/>
      <c r="P78" s="10"/>
      <c r="Q78" s="10"/>
      <c r="R78" s="10"/>
      <c r="S78" s="10"/>
      <c r="T78" s="10"/>
      <c r="U78" s="10"/>
      <c r="V78" s="10"/>
      <c r="W78" s="10"/>
      <c r="X78" s="10"/>
      <c r="Y78" s="10"/>
      <c r="Z78" s="10"/>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491D6-E477-4B9C-B120-D23AC94281DA}">
  <sheetPr codeName="Sheet9"/>
  <dimension ref="A1:M36"/>
  <sheetViews>
    <sheetView workbookViewId="0">
      <selection activeCell="D36" sqref="D36"/>
    </sheetView>
  </sheetViews>
  <sheetFormatPr defaultRowHeight="12.75" x14ac:dyDescent="0.2"/>
  <cols>
    <col min="1" max="1" width="1.7109375" style="40" customWidth="1"/>
    <col min="2" max="2" width="1.7109375" style="41" customWidth="1"/>
    <col min="3" max="11" width="15.7109375" style="39" customWidth="1"/>
    <col min="12" max="13" width="15.7109375" style="23" customWidth="1"/>
    <col min="14" max="17" width="15.7109375" customWidth="1"/>
  </cols>
  <sheetData>
    <row r="1" spans="1:11" ht="15" x14ac:dyDescent="0.25">
      <c r="A1" s="42"/>
      <c r="B1" s="43"/>
      <c r="C1" s="44" t="str">
        <f>TestSeries&amp;" "&amp;TestID&amp;" with modes calculated by SpanFat"</f>
        <v>Shell 5024 with modes calculated by SpanFat</v>
      </c>
      <c r="D1" s="44"/>
      <c r="E1" s="44"/>
      <c r="F1" s="44"/>
      <c r="G1" s="44"/>
      <c r="H1" s="44"/>
      <c r="I1" s="44"/>
      <c r="J1" s="44"/>
      <c r="K1" s="44"/>
    </row>
    <row r="2" spans="1:11" ht="15" x14ac:dyDescent="0.25">
      <c r="A2" s="42"/>
      <c r="B2" s="43"/>
      <c r="C2" s="44">
        <v>1</v>
      </c>
      <c r="D2" s="44" t="s">
        <v>389</v>
      </c>
      <c r="E2" s="44"/>
      <c r="F2" s="44"/>
      <c r="G2" s="44"/>
      <c r="H2" s="44"/>
      <c r="I2" s="44"/>
      <c r="J2" s="44"/>
      <c r="K2" s="44"/>
    </row>
    <row r="3" spans="1:11" ht="15" x14ac:dyDescent="0.25">
      <c r="A3" s="42"/>
      <c r="B3" s="43"/>
      <c r="C3" s="44">
        <v>1</v>
      </c>
      <c r="D3" s="44">
        <v>0</v>
      </c>
      <c r="E3" s="44">
        <v>90</v>
      </c>
      <c r="F3" s="44" t="s">
        <v>390</v>
      </c>
      <c r="G3" s="44"/>
      <c r="H3" s="44"/>
      <c r="I3" s="44"/>
      <c r="J3" s="44"/>
      <c r="K3" s="44"/>
    </row>
    <row r="4" spans="1:11" ht="15" x14ac:dyDescent="0.25">
      <c r="A4" s="42"/>
      <c r="B4" s="43"/>
      <c r="C4" s="44">
        <v>5</v>
      </c>
      <c r="D4" s="44" t="s">
        <v>391</v>
      </c>
      <c r="E4" s="44"/>
      <c r="F4" s="44"/>
      <c r="G4" s="44"/>
      <c r="H4" s="44"/>
      <c r="I4" s="44"/>
      <c r="J4" s="44"/>
      <c r="K4" s="44"/>
    </row>
    <row r="5" spans="1:11" ht="15" x14ac:dyDescent="0.25">
      <c r="A5" s="42"/>
      <c r="B5" s="43"/>
      <c r="C5" s="44">
        <v>1</v>
      </c>
      <c r="D5" s="44" t="s">
        <v>392</v>
      </c>
      <c r="E5" s="44"/>
      <c r="F5" s="44"/>
      <c r="G5" s="44"/>
      <c r="H5" s="44"/>
      <c r="I5" s="44"/>
      <c r="J5" s="44"/>
      <c r="K5" s="44"/>
    </row>
    <row r="6" spans="1:11" ht="15" x14ac:dyDescent="0.25">
      <c r="A6" s="42"/>
      <c r="B6" s="43"/>
      <c r="C6" s="44">
        <f>1000*Dc</f>
        <v>80</v>
      </c>
      <c r="D6" s="44" t="s">
        <v>393</v>
      </c>
      <c r="E6" s="44"/>
      <c r="F6" s="44"/>
      <c r="G6" s="44"/>
      <c r="H6" s="44"/>
      <c r="I6" s="44"/>
      <c r="J6" s="44"/>
      <c r="K6" s="44"/>
    </row>
    <row r="7" spans="1:11" ht="15" x14ac:dyDescent="0.25">
      <c r="A7" s="42"/>
      <c r="B7" s="43"/>
      <c r="C7" s="44">
        <v>1</v>
      </c>
      <c r="D7" s="44" t="s">
        <v>394</v>
      </c>
      <c r="E7" s="44"/>
      <c r="F7" s="44"/>
      <c r="G7" s="44"/>
      <c r="H7" s="44"/>
      <c r="I7" s="44"/>
      <c r="J7" s="44"/>
      <c r="K7" s="44"/>
    </row>
    <row r="8" spans="1:11" ht="15" x14ac:dyDescent="0.25">
      <c r="A8" s="42"/>
      <c r="B8" s="43"/>
      <c r="C8" s="44">
        <f>mratio</f>
        <v>1.1399999999999999</v>
      </c>
      <c r="D8" s="44" t="s">
        <v>395</v>
      </c>
      <c r="E8" s="44"/>
      <c r="F8" s="44"/>
      <c r="G8" s="44"/>
      <c r="H8" s="44"/>
      <c r="I8" s="44"/>
      <c r="J8" s="44"/>
      <c r="K8" s="44"/>
    </row>
    <row r="9" spans="1:11" ht="15" x14ac:dyDescent="0.25">
      <c r="A9" s="42"/>
      <c r="B9" s="43"/>
      <c r="C9" s="44">
        <f>ro_w/1000</f>
        <v>1</v>
      </c>
      <c r="D9" s="44" t="s">
        <v>396</v>
      </c>
      <c r="E9" s="44"/>
      <c r="F9" s="44"/>
      <c r="G9" s="44"/>
      <c r="H9" s="44"/>
      <c r="I9" s="44"/>
      <c r="J9" s="44"/>
      <c r="K9" s="44"/>
    </row>
    <row r="10" spans="1:11" ht="15" x14ac:dyDescent="0.25">
      <c r="A10" s="42"/>
      <c r="B10" s="43"/>
      <c r="C10" s="44" cm="1">
        <f t="array" ref="C10">NMIL</f>
        <v>20</v>
      </c>
      <c r="D10" s="44" cm="1">
        <f t="array" ref="D10">NMIV</f>
        <v>12</v>
      </c>
      <c r="E10" s="44">
        <f>C12-1</f>
        <v>151</v>
      </c>
      <c r="F10" s="44" t="s">
        <v>397</v>
      </c>
      <c r="G10" s="44" t="s">
        <v>398</v>
      </c>
      <c r="H10" s="44"/>
      <c r="I10" s="44"/>
      <c r="J10" s="44"/>
      <c r="K10" s="44"/>
    </row>
    <row r="11" spans="1:11" ht="15" x14ac:dyDescent="0.25">
      <c r="A11" s="42"/>
      <c r="B11" s="43"/>
      <c r="C11" s="44">
        <v>0</v>
      </c>
      <c r="D11" s="44">
        <v>0</v>
      </c>
      <c r="E11" s="44" t="s">
        <v>399</v>
      </c>
      <c r="F11" s="44"/>
      <c r="G11" s="44"/>
      <c r="H11" s="44"/>
      <c r="I11" s="44"/>
      <c r="J11" s="44"/>
      <c r="K11" s="44"/>
    </row>
    <row r="12" spans="1:11" ht="15" x14ac:dyDescent="0.25">
      <c r="A12" s="42"/>
      <c r="B12" s="43"/>
      <c r="C12" s="45">
        <v>152</v>
      </c>
      <c r="D12" s="44">
        <f>Lspan</f>
        <v>38</v>
      </c>
      <c r="E12" s="44" t="s">
        <v>399</v>
      </c>
      <c r="F12" s="44"/>
      <c r="G12" s="44"/>
      <c r="H12" s="44"/>
      <c r="I12" s="44"/>
      <c r="J12" s="44"/>
      <c r="K12" s="44"/>
    </row>
    <row r="13" spans="1:11" ht="15" x14ac:dyDescent="0.25">
      <c r="A13" s="42"/>
      <c r="B13" s="43"/>
      <c r="C13" s="44">
        <v>1</v>
      </c>
      <c r="D13" s="44" t="s">
        <v>400</v>
      </c>
      <c r="E13" s="44"/>
      <c r="F13" s="44"/>
      <c r="G13" s="44"/>
      <c r="H13" s="44"/>
      <c r="I13" s="44"/>
      <c r="J13" s="44"/>
      <c r="K13" s="44"/>
    </row>
    <row r="14" spans="1:11" ht="15" x14ac:dyDescent="0.25">
      <c r="A14" s="42"/>
      <c r="B14" s="43"/>
      <c r="C14" s="44">
        <v>0</v>
      </c>
      <c r="D14" s="44" t="s">
        <v>401</v>
      </c>
      <c r="E14" s="44"/>
      <c r="F14" s="44"/>
      <c r="G14" s="44"/>
      <c r="H14" s="44"/>
      <c r="I14" s="44"/>
      <c r="J14" s="44"/>
      <c r="K14" s="44"/>
    </row>
    <row r="15" spans="1:11" ht="15" x14ac:dyDescent="0.25">
      <c r="A15" s="42"/>
      <c r="B15" s="43"/>
      <c r="C15" s="44">
        <f>Lspan</f>
        <v>38</v>
      </c>
      <c r="D15" s="44">
        <f>Navg/10^6</f>
        <v>6.3635771484374997E-3</v>
      </c>
      <c r="E15" s="44" t="s">
        <v>402</v>
      </c>
      <c r="F15" s="44"/>
      <c r="G15" s="44"/>
      <c r="H15" s="44"/>
      <c r="I15" s="44"/>
      <c r="J15" s="44"/>
      <c r="K15" s="44"/>
    </row>
    <row r="16" spans="1:11" ht="15" x14ac:dyDescent="0.25">
      <c r="A16" s="42"/>
      <c r="B16" s="43"/>
      <c r="C16" s="44">
        <f>EI/10^6</f>
        <v>5.7229999999999998E-4</v>
      </c>
      <c r="D16" s="44">
        <f>EpipeUsed/10^6</f>
        <v>34600</v>
      </c>
      <c r="E16" s="44">
        <f>Dc/2</f>
        <v>0.04</v>
      </c>
      <c r="F16" s="44" t="s">
        <v>403</v>
      </c>
      <c r="G16" s="44"/>
      <c r="H16" s="44"/>
      <c r="I16" s="44"/>
      <c r="J16" s="44"/>
      <c r="K16" s="44"/>
    </row>
    <row r="17" spans="1:11" ht="15" x14ac:dyDescent="0.25">
      <c r="A17" s="42"/>
      <c r="B17" s="43"/>
      <c r="C17" s="44">
        <v>1</v>
      </c>
      <c r="D17" s="45">
        <v>0</v>
      </c>
      <c r="E17" s="44" t="s">
        <v>404</v>
      </c>
      <c r="F17" s="44" t="s">
        <v>405</v>
      </c>
      <c r="G17" s="44"/>
      <c r="H17" s="44"/>
      <c r="I17" s="44"/>
      <c r="J17" s="44"/>
      <c r="K17" s="44"/>
    </row>
    <row r="18" spans="1:11" ht="15" x14ac:dyDescent="0.25">
      <c r="A18" s="42"/>
      <c r="B18" s="43"/>
      <c r="C18" s="44">
        <f>NMIL</f>
        <v>20</v>
      </c>
      <c r="D18" s="45">
        <f>$D$17</f>
        <v>0</v>
      </c>
      <c r="E18" s="44" t="s">
        <v>404</v>
      </c>
      <c r="F18" s="44"/>
      <c r="G18" s="44"/>
      <c r="H18" s="44"/>
      <c r="I18" s="44"/>
      <c r="J18" s="44"/>
      <c r="K18" s="44"/>
    </row>
    <row r="19" spans="1:11" ht="15" x14ac:dyDescent="0.25">
      <c r="A19" s="42"/>
      <c r="B19" s="43"/>
      <c r="C19" s="44">
        <v>0</v>
      </c>
      <c r="D19" s="44" t="s">
        <v>406</v>
      </c>
      <c r="E19" s="44"/>
      <c r="F19" s="44"/>
      <c r="G19" s="44"/>
      <c r="H19" s="44"/>
      <c r="I19" s="44"/>
      <c r="J19" s="44"/>
      <c r="K19" s="44"/>
    </row>
    <row r="20" spans="1:11" ht="15" x14ac:dyDescent="0.25">
      <c r="A20" s="42"/>
      <c r="B20" s="43"/>
      <c r="C20" s="44">
        <v>1</v>
      </c>
      <c r="D20" s="45">
        <f t="shared" ref="D20:D21" si="0">$D$17</f>
        <v>0</v>
      </c>
      <c r="E20" s="44" t="s">
        <v>407</v>
      </c>
      <c r="F20" s="44"/>
      <c r="G20" s="44"/>
      <c r="H20" s="44"/>
      <c r="I20" s="44"/>
      <c r="J20" s="44"/>
      <c r="K20" s="44"/>
    </row>
    <row r="21" spans="1:11" ht="15" x14ac:dyDescent="0.25">
      <c r="A21" s="42"/>
      <c r="B21" s="43"/>
      <c r="C21" s="44">
        <f>NMIV</f>
        <v>12</v>
      </c>
      <c r="D21" s="45">
        <f t="shared" si="0"/>
        <v>0</v>
      </c>
      <c r="E21" s="44" t="s">
        <v>407</v>
      </c>
      <c r="F21" s="44"/>
      <c r="G21" s="44"/>
      <c r="H21" s="44"/>
      <c r="I21" s="44"/>
      <c r="J21" s="44"/>
      <c r="K21" s="44"/>
    </row>
    <row r="22" spans="1:11" ht="15" x14ac:dyDescent="0.25">
      <c r="A22" s="42"/>
      <c r="B22" s="43"/>
      <c r="C22" s="44">
        <v>0</v>
      </c>
      <c r="D22" s="44" t="s">
        <v>408</v>
      </c>
      <c r="E22" s="44"/>
      <c r="F22" s="44"/>
      <c r="G22" s="44"/>
      <c r="H22" s="44"/>
      <c r="I22" s="44"/>
      <c r="J22" s="44"/>
      <c r="K22" s="44"/>
    </row>
    <row r="23" spans="1:11" ht="15" x14ac:dyDescent="0.25">
      <c r="A23" s="42"/>
      <c r="B23" s="43"/>
      <c r="C23" s="44">
        <f>Uc/Dc</f>
        <v>6.261085718870163</v>
      </c>
      <c r="D23" s="44">
        <f>C23/2</f>
        <v>3.1305428594350815</v>
      </c>
      <c r="E23" s="44" t="s">
        <v>409</v>
      </c>
      <c r="F23" s="44" t="s">
        <v>410</v>
      </c>
      <c r="G23" s="44"/>
      <c r="H23" s="44"/>
      <c r="I23" s="44"/>
      <c r="J23" s="44"/>
      <c r="K23" s="44"/>
    </row>
    <row r="24" spans="1:11" ht="15" x14ac:dyDescent="0.25">
      <c r="A24" s="42"/>
      <c r="B24" s="43"/>
      <c r="C24" s="44">
        <v>2</v>
      </c>
      <c r="D24" s="44" t="s">
        <v>411</v>
      </c>
      <c r="E24" s="44"/>
      <c r="F24" s="44"/>
      <c r="G24" s="44"/>
      <c r="H24" s="44"/>
      <c r="I24" s="44"/>
      <c r="J24" s="44"/>
      <c r="K24" s="44"/>
    </row>
    <row r="25" spans="1:11" ht="15" x14ac:dyDescent="0.25">
      <c r="A25" s="42"/>
      <c r="B25" s="43"/>
      <c r="C25" s="44">
        <v>1</v>
      </c>
      <c r="D25" s="44">
        <f>epsFR*EpipeUsed/10^6</f>
        <v>3822.4067621986587</v>
      </c>
      <c r="E25" s="44" t="s">
        <v>412</v>
      </c>
      <c r="F25" s="44"/>
      <c r="G25" s="44"/>
      <c r="H25" s="44"/>
      <c r="I25" s="44"/>
      <c r="J25" s="44"/>
      <c r="K25" s="44"/>
    </row>
    <row r="26" spans="1:11" ht="15" x14ac:dyDescent="0.25">
      <c r="A26" s="42"/>
      <c r="B26" s="43"/>
      <c r="C26" s="44">
        <f>C25*10^nfat</f>
        <v>5495.4087385762541</v>
      </c>
      <c r="D26" s="44">
        <f>D25/10</f>
        <v>382.24067621986586</v>
      </c>
      <c r="E26" s="44" t="s">
        <v>412</v>
      </c>
      <c r="F26" s="44"/>
      <c r="G26" s="44"/>
      <c r="H26" s="44"/>
      <c r="I26" s="44"/>
      <c r="J26" s="44"/>
      <c r="K26" s="44"/>
    </row>
    <row r="27" spans="1:11" ht="15" x14ac:dyDescent="0.25">
      <c r="A27" s="42"/>
      <c r="B27" s="43"/>
      <c r="C27" s="44">
        <v>1</v>
      </c>
      <c r="D27" s="44">
        <v>25</v>
      </c>
      <c r="E27" s="44">
        <v>1</v>
      </c>
      <c r="F27" s="44" t="s">
        <v>413</v>
      </c>
      <c r="G27" s="44"/>
      <c r="H27" s="44"/>
      <c r="I27" s="44"/>
      <c r="J27" s="44"/>
      <c r="K27" s="44"/>
    </row>
    <row r="28" spans="1:11" ht="15" x14ac:dyDescent="0.25">
      <c r="A28" s="42"/>
      <c r="B28" s="43"/>
      <c r="C28" s="44">
        <v>1</v>
      </c>
      <c r="D28" s="44" t="s">
        <v>414</v>
      </c>
      <c r="E28" s="44"/>
      <c r="F28" s="44"/>
      <c r="G28" s="44"/>
      <c r="H28" s="44"/>
      <c r="I28" s="44"/>
      <c r="J28" s="44"/>
      <c r="K28" s="44"/>
    </row>
    <row r="29" spans="1:11" ht="15" x14ac:dyDescent="0.25">
      <c r="A29" s="42"/>
      <c r="B29" s="43"/>
      <c r="C29" s="44">
        <v>0</v>
      </c>
      <c r="D29" s="44">
        <v>-1</v>
      </c>
      <c r="E29" s="44" t="s">
        <v>415</v>
      </c>
      <c r="F29" s="44"/>
      <c r="G29" s="44"/>
      <c r="H29" s="44"/>
      <c r="I29" s="44"/>
      <c r="J29" s="44"/>
      <c r="K29" s="44"/>
    </row>
    <row r="30" spans="1:11" ht="15" x14ac:dyDescent="0.25">
      <c r="A30" s="42"/>
      <c r="B30" s="43"/>
      <c r="C30" s="44">
        <v>1</v>
      </c>
      <c r="D30" s="44">
        <v>1</v>
      </c>
      <c r="E30" s="44" t="s">
        <v>416</v>
      </c>
      <c r="F30" s="44"/>
      <c r="G30" s="44"/>
      <c r="H30" s="44"/>
      <c r="I30" s="44"/>
      <c r="J30" s="44"/>
      <c r="K30" s="44"/>
    </row>
    <row r="31" spans="1:11" ht="15" x14ac:dyDescent="0.25">
      <c r="A31" s="42"/>
      <c r="B31" s="43"/>
      <c r="C31" s="44">
        <v>1</v>
      </c>
      <c r="D31" s="44">
        <v>1</v>
      </c>
      <c r="E31" s="44" t="s">
        <v>417</v>
      </c>
      <c r="F31" s="44"/>
      <c r="G31" s="44"/>
      <c r="H31" s="44"/>
      <c r="I31" s="44"/>
      <c r="J31" s="44"/>
      <c r="K31" s="44"/>
    </row>
    <row r="32" spans="1:11" ht="15" x14ac:dyDescent="0.25">
      <c r="A32" s="42"/>
      <c r="B32" s="43"/>
      <c r="C32" s="44">
        <v>0.1</v>
      </c>
      <c r="D32" s="44" t="s">
        <v>418</v>
      </c>
      <c r="E32" s="44"/>
      <c r="F32" s="44"/>
      <c r="G32" s="44"/>
      <c r="H32" s="44"/>
      <c r="I32" s="44"/>
      <c r="J32" s="44"/>
      <c r="K32" s="44"/>
    </row>
    <row r="33" spans="1:11" ht="15" x14ac:dyDescent="0.25">
      <c r="A33" s="42"/>
      <c r="B33" s="43"/>
      <c r="C33" s="44">
        <f>Uc</f>
        <v>0.50088685750961304</v>
      </c>
      <c r="D33" s="44">
        <v>0</v>
      </c>
      <c r="E33" s="44" t="s">
        <v>419</v>
      </c>
      <c r="F33" s="44"/>
      <c r="G33" s="44"/>
      <c r="H33" s="44"/>
      <c r="I33" s="44"/>
      <c r="J33" s="44"/>
      <c r="K33" s="44"/>
    </row>
    <row r="34" spans="1:11" ht="15" x14ac:dyDescent="0.25">
      <c r="A34" s="42"/>
      <c r="B34" s="43"/>
      <c r="C34" s="44">
        <v>1</v>
      </c>
      <c r="D34" s="44" t="s">
        <v>420</v>
      </c>
      <c r="E34" s="44"/>
      <c r="F34" s="44"/>
      <c r="G34" s="44"/>
      <c r="H34" s="44"/>
      <c r="I34" s="44"/>
      <c r="J34" s="44"/>
      <c r="K34" s="44"/>
    </row>
    <row r="35" spans="1:11" ht="15" x14ac:dyDescent="0.25">
      <c r="A35" s="42"/>
      <c r="B35" s="43"/>
      <c r="C35" s="45">
        <v>0</v>
      </c>
      <c r="D35" s="44" t="s">
        <v>421</v>
      </c>
      <c r="E35" s="44"/>
      <c r="F35" s="44"/>
      <c r="G35" s="44"/>
      <c r="H35" s="44"/>
      <c r="I35" s="44"/>
      <c r="J35" s="44"/>
      <c r="K35" s="44"/>
    </row>
    <row r="36" spans="1:11" ht="15" x14ac:dyDescent="0.25">
      <c r="A36" s="42"/>
      <c r="B36" s="43"/>
      <c r="C36" s="44">
        <v>0</v>
      </c>
      <c r="D36" s="44" t="s">
        <v>422</v>
      </c>
      <c r="E36" s="44"/>
      <c r="F36" s="44"/>
      <c r="G36" s="44"/>
      <c r="H36" s="44"/>
      <c r="I36" s="44"/>
      <c r="J36" s="44"/>
      <c r="K36" s="44"/>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289</vt:i4>
      </vt:variant>
    </vt:vector>
  </HeadingPairs>
  <TitlesOfParts>
    <vt:vector size="305" baseType="lpstr">
      <vt:lpstr>Cont</vt:lpstr>
      <vt:lpstr>Misc</vt:lpstr>
      <vt:lpstr>c</vt:lpstr>
      <vt:lpstr>m</vt:lpstr>
      <vt:lpstr>Plt_1</vt:lpstr>
      <vt:lpstr>Plt_2</vt:lpstr>
      <vt:lpstr>Plt_3</vt:lpstr>
      <vt:lpstr>Plt_4</vt:lpstr>
      <vt:lpstr>u9</vt:lpstr>
      <vt:lpstr>u9a</vt:lpstr>
      <vt:lpstr>u9p</vt:lpstr>
      <vt:lpstr>u9ap</vt:lpstr>
      <vt:lpstr>fit</vt:lpstr>
      <vt:lpstr>scratch</vt:lpstr>
      <vt:lpstr>VIVANA_para</vt:lpstr>
      <vt:lpstr>VIVANA_res</vt:lpstr>
      <vt:lpstr>'c'!_Hlk86152109</vt:lpstr>
      <vt:lpstr>'c'!_Hlk87363392</vt:lpstr>
      <vt:lpstr>a_1CF</vt:lpstr>
      <vt:lpstr>a_1IL</vt:lpstr>
      <vt:lpstr>a_2CF</vt:lpstr>
      <vt:lpstr>a_2IL</vt:lpstr>
      <vt:lpstr>AETL</vt:lpstr>
      <vt:lpstr>AETL_a</vt:lpstr>
      <vt:lpstr>AETL_ap</vt:lpstr>
      <vt:lpstr>AETL_p</vt:lpstr>
      <vt:lpstr>AETV</vt:lpstr>
      <vt:lpstr>AETV_a</vt:lpstr>
      <vt:lpstr>AETV_ap</vt:lpstr>
      <vt:lpstr>AETV_p</vt:lpstr>
      <vt:lpstr>afat</vt:lpstr>
      <vt:lpstr>AmbBeh</vt:lpstr>
      <vt:lpstr>Misc!aod</vt:lpstr>
      <vt:lpstr>aod</vt:lpstr>
      <vt:lpstr>AoDmax</vt:lpstr>
      <vt:lpstr>avivCF</vt:lpstr>
      <vt:lpstr>b_1CF</vt:lpstr>
      <vt:lpstr>b_1IL</vt:lpstr>
      <vt:lpstr>b_2CF</vt:lpstr>
      <vt:lpstr>b_2IL</vt:lpstr>
      <vt:lpstr>b_3CF</vt:lpstr>
      <vt:lpstr>b_3IL</vt:lpstr>
      <vt:lpstr>c_1CF</vt:lpstr>
      <vt:lpstr>c_1IL</vt:lpstr>
      <vt:lpstr>c_2CF</vt:lpstr>
      <vt:lpstr>c_2IL</vt:lpstr>
      <vt:lpstr>c_3CF</vt:lpstr>
      <vt:lpstr>c_3IL</vt:lpstr>
      <vt:lpstr>cd</vt:lpstr>
      <vt:lpstr>Cd_p</vt:lpstr>
      <vt:lpstr>ceff</vt:lpstr>
      <vt:lpstr>Ck</vt:lpstr>
      <vt:lpstr>Ck_tilde</vt:lpstr>
      <vt:lpstr>cpipe</vt:lpstr>
      <vt:lpstr>CurrentFolder</vt:lpstr>
      <vt:lpstr>cv</vt:lpstr>
      <vt:lpstr>d_1CF</vt:lpstr>
      <vt:lpstr>d_1IL</vt:lpstr>
      <vt:lpstr>d_2CF</vt:lpstr>
      <vt:lpstr>d_2IL</vt:lpstr>
      <vt:lpstr>d_3CF</vt:lpstr>
      <vt:lpstr>d_3IL</vt:lpstr>
      <vt:lpstr>d_4CF</vt:lpstr>
      <vt:lpstr>d_4IL</vt:lpstr>
      <vt:lpstr>Dc</vt:lpstr>
      <vt:lpstr>Dc_p</vt:lpstr>
      <vt:lpstr>DispCF_max</vt:lpstr>
      <vt:lpstr>DispCF_maxloc</vt:lpstr>
      <vt:lpstr>DispCF_rms</vt:lpstr>
      <vt:lpstr>DispCF_rmsloc</vt:lpstr>
      <vt:lpstr>DispIL_max</vt:lpstr>
      <vt:lpstr>DispIL_maxloc</vt:lpstr>
      <vt:lpstr>DispIL_rms</vt:lpstr>
      <vt:lpstr>DispIL_rmsloc</vt:lpstr>
      <vt:lpstr>dNarch</vt:lpstr>
      <vt:lpstr>dNnl</vt:lpstr>
      <vt:lpstr>dratio</vt:lpstr>
      <vt:lpstr>Ds</vt:lpstr>
      <vt:lpstr>E_p</vt:lpstr>
      <vt:lpstr>EA</vt:lpstr>
      <vt:lpstr>EA_p</vt:lpstr>
      <vt:lpstr>Edefault</vt:lpstr>
      <vt:lpstr>EI</vt:lpstr>
      <vt:lpstr>EI_p</vt:lpstr>
      <vt:lpstr>EIadj</vt:lpstr>
      <vt:lpstr>EIratio</vt:lpstr>
      <vt:lpstr>Epipe</vt:lpstr>
      <vt:lpstr>EpipeUsed</vt:lpstr>
      <vt:lpstr>eps_1</vt:lpstr>
      <vt:lpstr>eps_1p</vt:lpstr>
      <vt:lpstr>epsCF_e_ratio</vt:lpstr>
      <vt:lpstr>epsCF_e_ratio_a</vt:lpstr>
      <vt:lpstr>epsCF_e_tilde</vt:lpstr>
      <vt:lpstr>epsCF_e_tilde_nap</vt:lpstr>
      <vt:lpstr>epsCF_e_tilde_sf</vt:lpstr>
      <vt:lpstr>epsCF_e_tilde_sfa</vt:lpstr>
      <vt:lpstr>epsCF_e_tilde_sfp</vt:lpstr>
      <vt:lpstr>epsCF_ep</vt:lpstr>
      <vt:lpstr>epsCF_max</vt:lpstr>
      <vt:lpstr>epsCF_maxloc</vt:lpstr>
      <vt:lpstr>epsCF_rms</vt:lpstr>
      <vt:lpstr>epsCF_rms_tilde</vt:lpstr>
      <vt:lpstr>epsCF_rmsloc</vt:lpstr>
      <vt:lpstr>epsFR</vt:lpstr>
      <vt:lpstr>epsIL_e_ratio</vt:lpstr>
      <vt:lpstr>epsIL_e_ratio_a</vt:lpstr>
      <vt:lpstr>epsIL_e_tilde</vt:lpstr>
      <vt:lpstr>epsIL_e_tilde_nap</vt:lpstr>
      <vt:lpstr>epsIL_e_tilde_sf</vt:lpstr>
      <vt:lpstr>epsIL_e_tilde_sfa</vt:lpstr>
      <vt:lpstr>epsIL_e_tilde_sfp</vt:lpstr>
      <vt:lpstr>epsIL_ep</vt:lpstr>
      <vt:lpstr>epsIL_max</vt:lpstr>
      <vt:lpstr>epsIL_maxloc</vt:lpstr>
      <vt:lpstr>epsIL_rms</vt:lpstr>
      <vt:lpstr>epsIL_rms_tilde</vt:lpstr>
      <vt:lpstr>epsIL_rmsloc</vt:lpstr>
      <vt:lpstr>epsRatioCF</vt:lpstr>
      <vt:lpstr>epsRatioIL</vt:lpstr>
      <vt:lpstr>exc</vt:lpstr>
      <vt:lpstr>ExcDisp</vt:lpstr>
      <vt:lpstr>f1ss</vt:lpstr>
      <vt:lpstr>f1ss_0</vt:lpstr>
      <vt:lpstr>f1ss_f</vt:lpstr>
      <vt:lpstr>FDR_1</vt:lpstr>
      <vt:lpstr>FDR_1p</vt:lpstr>
      <vt:lpstr>FDR_CF</vt:lpstr>
      <vt:lpstr>FDR_CF_nap</vt:lpstr>
      <vt:lpstr>FDR_CF_sfap</vt:lpstr>
      <vt:lpstr>FDR_CF_sfp</vt:lpstr>
      <vt:lpstr>FDR_CF_tilde</vt:lpstr>
      <vt:lpstr>FDR_CFp</vt:lpstr>
      <vt:lpstr>FDR_IL</vt:lpstr>
      <vt:lpstr>FDR_IL_nap</vt:lpstr>
      <vt:lpstr>FDR_IL_sfap</vt:lpstr>
      <vt:lpstr>FDR_IL_sfp</vt:lpstr>
      <vt:lpstr>FDR_IL_tilde</vt:lpstr>
      <vt:lpstr>FDR_ILp</vt:lpstr>
      <vt:lpstr>FfatCF_rmseps</vt:lpstr>
      <vt:lpstr>FfatIL_rmseps</vt:lpstr>
      <vt:lpstr>fjss</vt:lpstr>
      <vt:lpstr>fjss_0</vt:lpstr>
      <vt:lpstr>fjss_f</vt:lpstr>
      <vt:lpstr>fnss_0</vt:lpstr>
      <vt:lpstr>FpCF_rmseps</vt:lpstr>
      <vt:lpstr>FpIL_rmseps</vt:lpstr>
      <vt:lpstr>fpN</vt:lpstr>
      <vt:lpstr>fs</vt:lpstr>
      <vt:lpstr>fst_p</vt:lpstr>
      <vt:lpstr>FzcCF_rmseps</vt:lpstr>
      <vt:lpstr>FzcIL_rmseps</vt:lpstr>
      <vt:lpstr>FzsCF_rmseps</vt:lpstr>
      <vt:lpstr>FzsIL_rmseps</vt:lpstr>
      <vt:lpstr>g</vt:lpstr>
      <vt:lpstr>gerr_p</vt:lpstr>
      <vt:lpstr>h_1CF</vt:lpstr>
      <vt:lpstr>h_1IL</vt:lpstr>
      <vt:lpstr>h_2CF</vt:lpstr>
      <vt:lpstr>h_2IL</vt:lpstr>
      <vt:lpstr>h_3CF</vt:lpstr>
      <vt:lpstr>h_3IL</vt:lpstr>
      <vt:lpstr>h_4CF</vt:lpstr>
      <vt:lpstr>h_4IL</vt:lpstr>
      <vt:lpstr>h_5CF</vt:lpstr>
      <vt:lpstr>h_5IL</vt:lpstr>
      <vt:lpstr>idum</vt:lpstr>
      <vt:lpstr>iexcl</vt:lpstr>
      <vt:lpstr>ifirst</vt:lpstr>
      <vt:lpstr>ifirst_2</vt:lpstr>
      <vt:lpstr>ifirst_p</vt:lpstr>
      <vt:lpstr>ilast</vt:lpstr>
      <vt:lpstr>ilast_2</vt:lpstr>
      <vt:lpstr>ilast_p</vt:lpstr>
      <vt:lpstr>iN_p</vt:lpstr>
      <vt:lpstr>ipf</vt:lpstr>
      <vt:lpstr>jfirst</vt:lpstr>
      <vt:lpstr>jlast</vt:lpstr>
      <vt:lpstr>jst</vt:lpstr>
      <vt:lpstr>ka</vt:lpstr>
      <vt:lpstr>kratio</vt:lpstr>
      <vt:lpstr>krough</vt:lpstr>
      <vt:lpstr>kx_p</vt:lpstr>
      <vt:lpstr>kxend</vt:lpstr>
      <vt:lpstr>L_tilde_nap</vt:lpstr>
      <vt:lpstr>lambda_p</vt:lpstr>
      <vt:lpstr>lambdaCF</vt:lpstr>
      <vt:lpstr>lambdaCF_tilde</vt:lpstr>
      <vt:lpstr>lambdaCFused</vt:lpstr>
      <vt:lpstr>lambdaIL</vt:lpstr>
      <vt:lpstr>lambdaIL_tilde</vt:lpstr>
      <vt:lpstr>lambdaILused</vt:lpstr>
      <vt:lpstr>lambdaUsed</vt:lpstr>
      <vt:lpstr>lambdaUsed_tilde</vt:lpstr>
      <vt:lpstr>Lea</vt:lpstr>
      <vt:lpstr>Lea_o_L</vt:lpstr>
      <vt:lpstr>Lea_p</vt:lpstr>
      <vt:lpstr>LoD</vt:lpstr>
      <vt:lpstr>Lspan</vt:lpstr>
      <vt:lpstr>Lspan_p</vt:lpstr>
      <vt:lpstr>Lspan_tilde</vt:lpstr>
      <vt:lpstr>Lst</vt:lpstr>
      <vt:lpstr>Lst_nap</vt:lpstr>
      <vt:lpstr>Lst_p</vt:lpstr>
      <vt:lpstr>Lu</vt:lpstr>
      <vt:lpstr>m_air</vt:lpstr>
      <vt:lpstr>m_clump</vt:lpstr>
      <vt:lpstr>m_damp</vt:lpstr>
      <vt:lpstr>m_sub</vt:lpstr>
      <vt:lpstr>mdw</vt:lpstr>
      <vt:lpstr>mdw_p</vt:lpstr>
      <vt:lpstr>meff</vt:lpstr>
      <vt:lpstr>meff_p</vt:lpstr>
      <vt:lpstr>mratio</vt:lpstr>
      <vt:lpstr>mratio_p</vt:lpstr>
      <vt:lpstr>N_1</vt:lpstr>
      <vt:lpstr>N_g</vt:lpstr>
      <vt:lpstr>N_p</vt:lpstr>
      <vt:lpstr>N_pmax</vt:lpstr>
      <vt:lpstr>N_pmin</vt:lpstr>
      <vt:lpstr>N_tilde_nap</vt:lpstr>
      <vt:lpstr>N0_p</vt:lpstr>
      <vt:lpstr>Nadj</vt:lpstr>
      <vt:lpstr>Navg</vt:lpstr>
      <vt:lpstr>Navg_tilde</vt:lpstr>
      <vt:lpstr>ndamp</vt:lpstr>
      <vt:lpstr>Nfail_CF</vt:lpstr>
      <vt:lpstr>Nfail_IL</vt:lpstr>
      <vt:lpstr>nfat</vt:lpstr>
      <vt:lpstr>Ng_p</vt:lpstr>
      <vt:lpstr>nlCF</vt:lpstr>
      <vt:lpstr>nlIL</vt:lpstr>
      <vt:lpstr>NMIL</vt:lpstr>
      <vt:lpstr>NMIV</vt:lpstr>
      <vt:lpstr>nsrch</vt:lpstr>
      <vt:lpstr>Nstd</vt:lpstr>
      <vt:lpstr>nstr</vt:lpstr>
      <vt:lpstr>nu</vt:lpstr>
      <vt:lpstr>pctGap</vt:lpstr>
      <vt:lpstr>psi_ai1</vt:lpstr>
      <vt:lpstr>psi_ai2</vt:lpstr>
      <vt:lpstr>psi_arch_st</vt:lpstr>
      <vt:lpstr>psi_arch_st_f</vt:lpstr>
      <vt:lpstr>psi_arch1</vt:lpstr>
      <vt:lpstr>psi_arch1_f</vt:lpstr>
      <vt:lpstr>psi_clump</vt:lpstr>
      <vt:lpstr>psi_local</vt:lpstr>
      <vt:lpstr>psi_n</vt:lpstr>
      <vt:lpstr>psi_nl</vt:lpstr>
      <vt:lpstr>psi_nl_f</vt:lpstr>
      <vt:lpstr>qc</vt:lpstr>
      <vt:lpstr>qc_p</vt:lpstr>
      <vt:lpstr>qd_p</vt:lpstr>
      <vt:lpstr>qh_1</vt:lpstr>
      <vt:lpstr>qw</vt:lpstr>
      <vt:lpstr>qw_p</vt:lpstr>
      <vt:lpstr>Reps</vt:lpstr>
      <vt:lpstr>Reyn</vt:lpstr>
      <vt:lpstr>rhocc</vt:lpstr>
      <vt:lpstr>rhoi</vt:lpstr>
      <vt:lpstr>rhos</vt:lpstr>
      <vt:lpstr>rhosw</vt:lpstr>
      <vt:lpstr>rhowc</vt:lpstr>
      <vt:lpstr>ro_w</vt:lpstr>
      <vt:lpstr>rotCF</vt:lpstr>
      <vt:lpstr>rotRatio</vt:lpstr>
      <vt:lpstr>rotStatic</vt:lpstr>
      <vt:lpstr>rotStatic_p</vt:lpstr>
      <vt:lpstr>rsf</vt:lpstr>
      <vt:lpstr>St</vt:lpstr>
      <vt:lpstr>startdatum</vt:lpstr>
      <vt:lpstr>starttime</vt:lpstr>
      <vt:lpstr>stdU</vt:lpstr>
      <vt:lpstr>stopdatum</vt:lpstr>
      <vt:lpstr>stoptime</vt:lpstr>
      <vt:lpstr>SubDamp</vt:lpstr>
      <vt:lpstr>tcc</vt:lpstr>
      <vt:lpstr>TestID</vt:lpstr>
      <vt:lpstr>TestSeries</vt:lpstr>
      <vt:lpstr>th1_gsensic</vt:lpstr>
      <vt:lpstr>th1_gsensir</vt:lpstr>
      <vt:lpstr>theta</vt:lpstr>
      <vt:lpstr>ts</vt:lpstr>
      <vt:lpstr>Tst</vt:lpstr>
      <vt:lpstr>Tst_p</vt:lpstr>
      <vt:lpstr>twc</vt:lpstr>
      <vt:lpstr>Uc</vt:lpstr>
      <vt:lpstr>Uc_p</vt:lpstr>
      <vt:lpstr>wc_p</vt:lpstr>
      <vt:lpstr>wd_p</vt:lpstr>
      <vt:lpstr>wg_p</vt:lpstr>
      <vt:lpstr>wz_p</vt:lpstr>
      <vt:lpstr>xik</vt:lpstr>
      <vt:lpstr>zchk_comb</vt:lpstr>
      <vt:lpstr>zchk_FDR_CF</vt:lpstr>
      <vt:lpstr>zchk_FDR_IL</vt:lpstr>
      <vt:lpstr>zchk_k</vt:lpstr>
      <vt:lpstr>zchk_Lst</vt:lpstr>
      <vt:lpstr>zchk_mratio</vt:lpstr>
      <vt:lpstr>zchk_qc</vt:lpstr>
      <vt:lpstr>zchk_qd</vt:lpstr>
      <vt:lpstr>zchkCFeps_sf</vt:lpstr>
      <vt:lpstr>zchkILeps_sf</vt:lpstr>
      <vt:lpstr>zchkSt</vt:lpstr>
      <vt:lpstr>zeta_h</vt:lpstr>
      <vt:lpstr>zeta_ndamp</vt:lpstr>
    </vt:vector>
  </TitlesOfParts>
  <Company>Registered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Registered User</dc:creator>
  <cp:lastModifiedBy>Ralf Peek</cp:lastModifiedBy>
  <dcterms:created xsi:type="dcterms:W3CDTF">2003-08-20T08:42:36Z</dcterms:created>
  <dcterms:modified xsi:type="dcterms:W3CDTF">2022-11-08T17:27:13Z</dcterms:modified>
</cp:coreProperties>
</file>