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ml.chartshapes+xml"/>
  <Override PartName="/xl/drawings/drawing4.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showInkAnnotation="0"/>
  <mc:AlternateContent xmlns:mc="http://schemas.openxmlformats.org/markup-compatibility/2006">
    <mc:Choice Requires="x15">
      <x15ac:absPath xmlns:x15ac="http://schemas.microsoft.com/office/spreadsheetml/2010/11/ac" url="D:\EmpaPackMe\3. PUBLICATIONS\2023_LCA\Paper 1-Eleonora\Final_Doc\"/>
    </mc:Choice>
  </mc:AlternateContent>
  <xr:revisionPtr revIDLastSave="0" documentId="13_ncr:1_{EA55AAAC-FD6B-48D3-A047-3954AB15F613}" xr6:coauthVersionLast="47" xr6:coauthVersionMax="47" xr10:uidLastSave="{00000000-0000-0000-0000-000000000000}"/>
  <bookViews>
    <workbookView xWindow="-110" yWindow="-110" windowWidth="19420" windowHeight="10300" xr2:uid="{00000000-000D-0000-FFFF-FFFF00000000}"/>
  </bookViews>
  <sheets>
    <sheet name="README" sheetId="31" r:id="rId1"/>
    <sheet name="refs." sheetId="15" r:id="rId2"/>
    <sheet name="1. cultivation" sheetId="33" r:id="rId3"/>
    <sheet name="2. packaging &amp; palletization" sheetId="4" r:id="rId4"/>
    <sheet name="3. pre-cooling" sheetId="5" r:id="rId5"/>
    <sheet name="4. to port &amp; overseas transport" sheetId="6" r:id="rId6"/>
    <sheet name="5. storage" sheetId="7" r:id="rId7"/>
    <sheet name="6. retail" sheetId="8" r:id="rId8"/>
    <sheet name="7. consumption" sheetId="9" r:id="rId9"/>
    <sheet name="LCI parameters" sheetId="13" r:id="rId10"/>
    <sheet name="FAOSTAT_data_exports" sheetId="32" r:id="rId11"/>
    <sheet name="LCA results" sheetId="46" r:id="rId12"/>
    <sheet name="LCA results_weighting" sheetId="48" r:id="rId13"/>
    <sheet name="Pre-harvest contributions" sheetId="52" r:id="rId14"/>
    <sheet name="Post-harvest contributions" sheetId="53" r:id="rId15"/>
  </sheets>
  <externalReferences>
    <externalReference r:id="rId16"/>
    <externalReference r:id="rId17"/>
    <externalReference r:id="rId18"/>
  </externalReferences>
  <definedNames>
    <definedName name="_xlnm._FilterDatabase" localSheetId="10" hidden="1">FAOSTAT_data_exports!$A$1:$N$1</definedName>
    <definedName name="_xlnm._FilterDatabase" localSheetId="12" hidden="1">'LCA results_weighting'!$Q$49:$R$49</definedName>
    <definedName name="Al_cathode">[1]NMC111!$J$183</definedName>
    <definedName name="ammonia_liquid_cathode_precursor">[1]NMC111!$J$201</definedName>
    <definedName name="box_length">'LCI parameters'!$B$71</definedName>
    <definedName name="box_width">'LCI parameters'!$B$72</definedName>
    <definedName name="capacity_pre_cooling">'LCI parameters'!$B$34</definedName>
    <definedName name="carton_weight">'LCI parameters'!$B$6</definedName>
    <definedName name="cartons_per_pallet">'LCI parameters'!$B$7</definedName>
    <definedName name="citrus_input_oversea_transport">'4. to port &amp; overseas transport'!$D$2</definedName>
    <definedName name="Cp_fruit">'LCI parameters'!$B$25</definedName>
    <definedName name="EC">'LCI parameters'!$B$26</definedName>
    <definedName name="fruit_average_weight">'LCI parameters'!$B$5</definedName>
    <definedName name="fruit_diameter">'LCI parameters'!$B$13</definedName>
    <definedName name="fruit_per_carton_number">'LCI parameters'!$B$3</definedName>
    <definedName name="fruit_per_carton_weight">'LCI parameters'!$B$4</definedName>
    <definedName name="gal_to_kg">[1]parameters!$E$14</definedName>
    <definedName name="H2SO4_in_anode_slurry">[1]NMC111!$J$160</definedName>
    <definedName name="heat_drying_cathode">[1]NMC111!$J$178</definedName>
    <definedName name="kWh_cell_NCA">[1]parameters!$E$10</definedName>
    <definedName name="kWh_cell_NMC111">[1]parameters!$E$4</definedName>
    <definedName name="kWh_cell_NMC811">[1]parameters!$E$7</definedName>
    <definedName name="MJ_to_kWh">[1]parameters!$E$12</definedName>
    <definedName name="mmBTU_to_MJ">[1]parameters!$E$13</definedName>
    <definedName name="NaOH_in_cathode_slurry">[1]NMC111!$J$185</definedName>
    <definedName name="NaOH_in_sodium_metabisulfite">[1]NMC111!$J$241</definedName>
    <definedName name="NMP">[1]NMC111!$J$177</definedName>
    <definedName name="p_lin1">'LCI parameters'!$B$45</definedName>
    <definedName name="p_lin2">'LCI parameters'!$B$46</definedName>
    <definedName name="packhouse_lifetime">'LCI parameters'!$B$19</definedName>
    <definedName name="packhouse_PV">'LCI parameters'!$B$18</definedName>
    <definedName name="packhouse_size">'LCI parameters'!$B$17</definedName>
    <definedName name="pallet_per_container">'LCI parameters'!$B$9</definedName>
    <definedName name="pallet_per_pre_cooling">'LCI parameters'!$B$33</definedName>
    <definedName name="pallet_weight">'LCI parameters'!$B$8</definedName>
    <definedName name="precooler_length">'LCI parameters'!#REF!</definedName>
    <definedName name="precooler_width">'LCI parameters'!#REF!</definedName>
    <definedName name="process_efficiency">[1]parameters!$E$11</definedName>
    <definedName name="RefProd_consumed_citrus">'7. consumption'!$D$7</definedName>
    <definedName name="RefProd_sold_citrus">'6. retail'!$D$14</definedName>
    <definedName name="retail_lifetime">'LCI parameters'!$B$74</definedName>
    <definedName name="retail_size">'LCI parameters'!$B$73</definedName>
    <definedName name="SECT_pre_cooling">'LCI parameters'!$B$32</definedName>
    <definedName name="SECT_retail">'LCI parameters'!#REF!</definedName>
    <definedName name="SECT_shipment">'LCI parameters'!$B$48</definedName>
    <definedName name="SECT_storage">'LCI parameters'!$B$62</definedName>
    <definedName name="share_biowaste">'[2]LCI parameters'!$C$45</definedName>
    <definedName name="share_biowaste_consumer">'LCI parameters'!$B$79</definedName>
    <definedName name="share_citrus_BoP_Food">'LCI parameters'!$B$78</definedName>
    <definedName name="share_compost_packhouse">'LCI parameters'!$B$12</definedName>
    <definedName name="share_food_loss_retail">'LCI parameters'!$B$75</definedName>
    <definedName name="share_fresh">'LCI parameters'!$B$10</definedName>
    <definedName name="share_orange">'LCI parameters'!$B$20</definedName>
    <definedName name="share_processing">'LCI parameters'!$B$11</definedName>
    <definedName name="shared_landfil_consumer">'LCI parameters'!$B$80</definedName>
    <definedName name="SO2_air">[1]NMC111!$J$250</definedName>
    <definedName name="SO2_liquid">[1]NMC111!$J$240</definedName>
    <definedName name="söklghqeio">[3]parameters!$E$5</definedName>
    <definedName name="specific_energy_NCA">[1]parameters!$E$8</definedName>
    <definedName name="specific_energy_NMC111">[1]parameters!$E$2</definedName>
    <definedName name="specific_energy_NMC811">[1]parameters!$E$5</definedName>
    <definedName name="storage_energy_at_retail">'LCI parameters'!$B$70</definedName>
    <definedName name="stored_packed_citrus">'6. retail'!$D$2</definedName>
    <definedName name="T_amb_port">'LCI parameters'!$B$28</definedName>
    <definedName name="T_amb_retail">'LCI parameters'!#REF!</definedName>
    <definedName name="T_amb_shipment">'LCI parameters'!$B$44</definedName>
    <definedName name="T_amb_storage">'LCI parameters'!$B$58</definedName>
    <definedName name="Tf_pre_cooling">'LCI parameters'!$B$24</definedName>
    <definedName name="Tf_storage">'LCI parameters'!$B$54</definedName>
    <definedName name="Tf_to_port">'LCI parameters'!$B$39</definedName>
    <definedName name="Ti_at_port">'LCI parameters'!$B$38</definedName>
    <definedName name="Ti_pre_cooling">'LCI parameters'!$B$23</definedName>
    <definedName name="Ti_storage">'LCI parameters'!$B$53</definedName>
    <definedName name="time_pre_cooling">'LCI parameters'!$B$31</definedName>
    <definedName name="time_retail">'LCI parameters'!$B$69</definedName>
    <definedName name="time_shipment">'LCI parameters'!$B$47</definedName>
    <definedName name="time_storage">'LCI parameters'!$B$61</definedName>
    <definedName name="transport_packhouse">'LCI parameters'!$B$21</definedName>
    <definedName name="transport_ship">'LCI parameters'!$B$51</definedName>
    <definedName name="transport_to_house">'LCI parameters'!$B$77</definedName>
    <definedName name="transport_to_port">'LCI parameters'!$B$50</definedName>
    <definedName name="transport_to_retail">'LCI parameters'!$B$66</definedName>
    <definedName name="water_cathode_precursor">[1]NMC111!$J$206</definedName>
    <definedName name="water_deionised">[1]NMC111!$J$149</definedName>
    <definedName name="wax_density">'LCI parameters'!$B$16</definedName>
    <definedName name="wax_thickness">'LCI parameters'!$B$14</definedName>
    <definedName name="wax_volume_per_fruit">'LCI parameters'!$B$15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7" i="46" l="1"/>
  <c r="M6" i="53"/>
  <c r="M7" i="53"/>
  <c r="M8" i="53"/>
  <c r="M9" i="53"/>
  <c r="M10" i="53"/>
  <c r="M11" i="53"/>
  <c r="M12" i="53"/>
  <c r="M13" i="53"/>
  <c r="M14" i="53"/>
  <c r="M15" i="53"/>
  <c r="M16" i="53"/>
  <c r="M17" i="53"/>
  <c r="M18" i="53"/>
  <c r="M19" i="53"/>
  <c r="M20" i="53"/>
  <c r="M5" i="53"/>
  <c r="N44" i="48"/>
  <c r="D31" i="48"/>
  <c r="D32" i="48"/>
  <c r="D33" i="48"/>
  <c r="E33" i="48" s="1"/>
  <c r="F33" i="48" s="1"/>
  <c r="D34" i="48"/>
  <c r="E34" i="48" s="1"/>
  <c r="F34" i="48" s="1"/>
  <c r="D35" i="48"/>
  <c r="E35" i="48" s="1"/>
  <c r="F35" i="48" s="1"/>
  <c r="D36" i="48"/>
  <c r="D37" i="48"/>
  <c r="D38" i="48"/>
  <c r="D39" i="48"/>
  <c r="D40" i="48"/>
  <c r="E40" i="48" s="1"/>
  <c r="F40" i="48" s="1"/>
  <c r="D41" i="48"/>
  <c r="D42" i="48"/>
  <c r="D43" i="48"/>
  <c r="D44" i="48"/>
  <c r="D45" i="48"/>
  <c r="E45" i="48" s="1"/>
  <c r="F45" i="48" s="1"/>
  <c r="D30" i="48"/>
  <c r="E30" i="48" s="1"/>
  <c r="F30" i="48" s="1"/>
  <c r="E33" i="46"/>
  <c r="E35" i="46"/>
  <c r="L7" i="46"/>
  <c r="J34" i="46"/>
  <c r="H36" i="46"/>
  <c r="L18" i="46"/>
  <c r="I40" i="46"/>
  <c r="I41" i="46"/>
  <c r="I29" i="46"/>
  <c r="N32" i="48" s="1"/>
  <c r="J38" i="46"/>
  <c r="E31" i="48"/>
  <c r="F31" i="48" s="1"/>
  <c r="E32" i="48"/>
  <c r="F32" i="48" s="1"/>
  <c r="E36" i="48"/>
  <c r="F36" i="48" s="1"/>
  <c r="E37" i="48"/>
  <c r="F37" i="48" s="1"/>
  <c r="E38" i="48"/>
  <c r="F38" i="48" s="1"/>
  <c r="E39" i="48"/>
  <c r="F39" i="48" s="1"/>
  <c r="E41" i="48"/>
  <c r="F41" i="48" s="1"/>
  <c r="E42" i="48"/>
  <c r="F42" i="48" s="1"/>
  <c r="E43" i="48"/>
  <c r="F43" i="48" s="1"/>
  <c r="N43" i="48" s="1"/>
  <c r="E44" i="48"/>
  <c r="F44" i="48" s="1"/>
  <c r="B5" i="13"/>
  <c r="D11" i="4"/>
  <c r="I42" i="48" l="1"/>
  <c r="J40" i="48"/>
  <c r="N41" i="48"/>
  <c r="L38" i="48"/>
  <c r="M35" i="48"/>
  <c r="I34" i="48"/>
  <c r="O34" i="48"/>
  <c r="K34" i="48"/>
  <c r="K45" i="48"/>
  <c r="L45" i="48"/>
  <c r="M45" i="48"/>
  <c r="N33" i="48"/>
  <c r="I33" i="48"/>
  <c r="M43" i="48"/>
  <c r="M41" i="48"/>
  <c r="M39" i="48"/>
  <c r="J37" i="48"/>
  <c r="O36" i="48"/>
  <c r="I32" i="48"/>
  <c r="I43" i="48"/>
  <c r="I31" i="48"/>
  <c r="J42" i="48"/>
  <c r="J38" i="48"/>
  <c r="J36" i="48"/>
  <c r="O41" i="48"/>
  <c r="O39" i="48"/>
  <c r="O37" i="48"/>
  <c r="F46" i="48"/>
  <c r="D39" i="46"/>
  <c r="G39" i="46"/>
  <c r="L42" i="48" s="1"/>
  <c r="F42" i="46"/>
  <c r="J42" i="46"/>
  <c r="O45" i="48" s="1"/>
  <c r="D30" i="46"/>
  <c r="G30" i="46"/>
  <c r="L33" i="48" s="1"/>
  <c r="J30" i="46"/>
  <c r="O33" i="48" s="1"/>
  <c r="D38" i="46"/>
  <c r="I41" i="48" s="1"/>
  <c r="H28" i="46"/>
  <c r="M31" i="48" s="1"/>
  <c r="H27" i="46"/>
  <c r="M30" i="48" s="1"/>
  <c r="D37" i="46"/>
  <c r="I37" i="46"/>
  <c r="N40" i="48" s="1"/>
  <c r="F37" i="46"/>
  <c r="K40" i="48" s="1"/>
  <c r="D32" i="46"/>
  <c r="I35" i="48" s="1"/>
  <c r="E32" i="46"/>
  <c r="J35" i="48" s="1"/>
  <c r="H32" i="46"/>
  <c r="D31" i="46"/>
  <c r="G31" i="46"/>
  <c r="L34" i="48" s="1"/>
  <c r="I31" i="46"/>
  <c r="N34" i="48" s="1"/>
  <c r="J31" i="46"/>
  <c r="E29" i="46"/>
  <c r="E41" i="46"/>
  <c r="E37" i="46"/>
  <c r="D27" i="46"/>
  <c r="D36" i="46"/>
  <c r="I39" i="48" s="1"/>
  <c r="E42" i="46"/>
  <c r="J45" i="48" s="1"/>
  <c r="D42" i="46"/>
  <c r="I45" i="48" s="1"/>
  <c r="F30" i="46"/>
  <c r="K33" i="48" s="1"/>
  <c r="E30" i="46"/>
  <c r="J36" i="46"/>
  <c r="G42" i="46"/>
  <c r="D35" i="46"/>
  <c r="H35" i="46"/>
  <c r="M38" i="48" s="1"/>
  <c r="F34" i="46"/>
  <c r="K37" i="48" s="1"/>
  <c r="G35" i="46"/>
  <c r="D33" i="46"/>
  <c r="F35" i="46"/>
  <c r="E55" i="46" s="1"/>
  <c r="I33" i="46"/>
  <c r="N36" i="48" s="1"/>
  <c r="H33" i="46"/>
  <c r="M36" i="48" s="1"/>
  <c r="J33" i="46"/>
  <c r="G33" i="46"/>
  <c r="L36" i="48" s="1"/>
  <c r="I42" i="46"/>
  <c r="N45" i="48" s="1"/>
  <c r="D41" i="46"/>
  <c r="I44" i="48" s="1"/>
  <c r="F39" i="46"/>
  <c r="K42" i="48" s="1"/>
  <c r="H37" i="46"/>
  <c r="M40" i="48" s="1"/>
  <c r="J35" i="46"/>
  <c r="O38" i="48" s="1"/>
  <c r="E34" i="46"/>
  <c r="G32" i="46"/>
  <c r="L35" i="48" s="1"/>
  <c r="I30" i="46"/>
  <c r="D29" i="46"/>
  <c r="D40" i="46"/>
  <c r="H42" i="46"/>
  <c r="J40" i="46"/>
  <c r="O43" i="48" s="1"/>
  <c r="E39" i="46"/>
  <c r="G37" i="46"/>
  <c r="L40" i="48" s="1"/>
  <c r="I35" i="46"/>
  <c r="N38" i="48" s="1"/>
  <c r="D34" i="46"/>
  <c r="I37" i="48" s="1"/>
  <c r="F32" i="46"/>
  <c r="K35" i="48" s="1"/>
  <c r="H30" i="46"/>
  <c r="M33" i="48" s="1"/>
  <c r="J28" i="46"/>
  <c r="O31" i="48" s="1"/>
  <c r="I38" i="46"/>
  <c r="G28" i="46"/>
  <c r="L31" i="48" s="1"/>
  <c r="F40" i="46"/>
  <c r="K43" i="48" s="1"/>
  <c r="H38" i="46"/>
  <c r="F28" i="46"/>
  <c r="K31" i="48" s="1"/>
  <c r="I27" i="46"/>
  <c r="N30" i="48" s="1"/>
  <c r="J41" i="46"/>
  <c r="O44" i="48" s="1"/>
  <c r="E40" i="46"/>
  <c r="G38" i="46"/>
  <c r="L41" i="48" s="1"/>
  <c r="I36" i="46"/>
  <c r="N39" i="48" s="1"/>
  <c r="F33" i="46"/>
  <c r="E53" i="46" s="1"/>
  <c r="H31" i="46"/>
  <c r="M34" i="48" s="1"/>
  <c r="J29" i="46"/>
  <c r="O32" i="48" s="1"/>
  <c r="E28" i="46"/>
  <c r="F38" i="46"/>
  <c r="K41" i="48" s="1"/>
  <c r="D28" i="46"/>
  <c r="G27" i="46"/>
  <c r="L30" i="48" s="1"/>
  <c r="H41" i="46"/>
  <c r="M44" i="48" s="1"/>
  <c r="J39" i="46"/>
  <c r="O42" i="48" s="1"/>
  <c r="E38" i="46"/>
  <c r="G36" i="46"/>
  <c r="L39" i="48" s="1"/>
  <c r="I34" i="46"/>
  <c r="N37" i="48" s="1"/>
  <c r="F31" i="46"/>
  <c r="H29" i="46"/>
  <c r="M32" i="48" s="1"/>
  <c r="I28" i="46"/>
  <c r="N31" i="48" s="1"/>
  <c r="H40" i="46"/>
  <c r="G40" i="46"/>
  <c r="L43" i="48" s="1"/>
  <c r="F27" i="46"/>
  <c r="K30" i="48" s="1"/>
  <c r="G41" i="46"/>
  <c r="L44" i="48" s="1"/>
  <c r="I39" i="46"/>
  <c r="N42" i="48" s="1"/>
  <c r="F36" i="46"/>
  <c r="K39" i="48" s="1"/>
  <c r="H34" i="46"/>
  <c r="M37" i="48" s="1"/>
  <c r="J32" i="46"/>
  <c r="O35" i="48" s="1"/>
  <c r="E31" i="46"/>
  <c r="J34" i="48" s="1"/>
  <c r="G29" i="46"/>
  <c r="L32" i="48" s="1"/>
  <c r="F41" i="46"/>
  <c r="K44" i="48" s="1"/>
  <c r="H39" i="46"/>
  <c r="M42" i="48" s="1"/>
  <c r="J37" i="46"/>
  <c r="O40" i="48" s="1"/>
  <c r="E36" i="46"/>
  <c r="J39" i="48" s="1"/>
  <c r="G34" i="46"/>
  <c r="L37" i="48" s="1"/>
  <c r="I32" i="46"/>
  <c r="N35" i="48" s="1"/>
  <c r="F29" i="46"/>
  <c r="K32" i="48" s="1"/>
  <c r="L19" i="46"/>
  <c r="L17" i="46"/>
  <c r="L12" i="46"/>
  <c r="L11" i="46"/>
  <c r="L21" i="46"/>
  <c r="L9" i="46"/>
  <c r="L20" i="46"/>
  <c r="L8" i="46"/>
  <c r="L16" i="46"/>
  <c r="L15" i="46"/>
  <c r="L14" i="46"/>
  <c r="L13" i="46"/>
  <c r="L22" i="46"/>
  <c r="L10" i="46"/>
  <c r="B10" i="13"/>
  <c r="E54" i="46" l="1"/>
  <c r="E57" i="46"/>
  <c r="E61" i="46"/>
  <c r="D61" i="46"/>
  <c r="I40" i="48"/>
  <c r="P40" i="48" s="1"/>
  <c r="J44" i="48"/>
  <c r="P44" i="48" s="1"/>
  <c r="E49" i="46"/>
  <c r="E59" i="46"/>
  <c r="E50" i="46"/>
  <c r="K36" i="48"/>
  <c r="E51" i="46"/>
  <c r="I30" i="48"/>
  <c r="J41" i="48"/>
  <c r="E58" i="46"/>
  <c r="I36" i="48"/>
  <c r="P36" i="48" s="1"/>
  <c r="K38" i="48"/>
  <c r="J32" i="48"/>
  <c r="P32" i="48" s="1"/>
  <c r="E52" i="46"/>
  <c r="J43" i="48"/>
  <c r="E60" i="46"/>
  <c r="E56" i="46"/>
  <c r="J31" i="48"/>
  <c r="P31" i="48" s="1"/>
  <c r="E48" i="46"/>
  <c r="D49" i="46"/>
  <c r="E62" i="46"/>
  <c r="D52" i="46"/>
  <c r="I38" i="48"/>
  <c r="J33" i="48"/>
  <c r="D59" i="46"/>
  <c r="G34" i="48"/>
  <c r="G35" i="48"/>
  <c r="G31" i="48"/>
  <c r="G36" i="48"/>
  <c r="G37" i="48"/>
  <c r="G38" i="48"/>
  <c r="G39" i="48"/>
  <c r="G40" i="48"/>
  <c r="G41" i="48"/>
  <c r="G42" i="48"/>
  <c r="G32" i="48"/>
  <c r="G44" i="48"/>
  <c r="G33" i="48"/>
  <c r="G45" i="48"/>
  <c r="G43" i="48"/>
  <c r="G30" i="48"/>
  <c r="J27" i="46"/>
  <c r="O30" i="48" s="1"/>
  <c r="K30" i="46"/>
  <c r="D50" i="46" s="1"/>
  <c r="K42" i="46"/>
  <c r="D62" i="46" s="1"/>
  <c r="K39" i="46"/>
  <c r="K29" i="46"/>
  <c r="K33" i="46"/>
  <c r="D53" i="46" s="1"/>
  <c r="K31" i="46"/>
  <c r="D51" i="46" s="1"/>
  <c r="K35" i="46"/>
  <c r="D55" i="46" s="1"/>
  <c r="K32" i="46"/>
  <c r="K38" i="46"/>
  <c r="D58" i="46" s="1"/>
  <c r="K37" i="46"/>
  <c r="D57" i="46" s="1"/>
  <c r="K28" i="46"/>
  <c r="D48" i="46" s="1"/>
  <c r="K36" i="46"/>
  <c r="D56" i="46" s="1"/>
  <c r="K40" i="46"/>
  <c r="D60" i="46" s="1"/>
  <c r="K34" i="46"/>
  <c r="D54" i="46" s="1"/>
  <c r="K41" i="46"/>
  <c r="P34" i="48"/>
  <c r="P43" i="48"/>
  <c r="M46" i="48"/>
  <c r="K46" i="48"/>
  <c r="P45" i="48"/>
  <c r="L46" i="48"/>
  <c r="P35" i="48"/>
  <c r="P37" i="48"/>
  <c r="O46" i="48"/>
  <c r="P41" i="48"/>
  <c r="P42" i="48"/>
  <c r="N46" i="48"/>
  <c r="P38" i="48"/>
  <c r="P39" i="48"/>
  <c r="P33" i="48"/>
  <c r="D10" i="4"/>
  <c r="D9" i="4"/>
  <c r="D8" i="4"/>
  <c r="D3" i="4"/>
  <c r="E47" i="46" l="1"/>
  <c r="J30" i="48"/>
  <c r="J46" i="48" s="1"/>
  <c r="I46" i="48"/>
  <c r="R30" i="48" s="1"/>
  <c r="S30" i="48"/>
  <c r="T30" i="48" s="1"/>
  <c r="R31" i="48" s="1"/>
  <c r="K27" i="46"/>
  <c r="D47" i="46" s="1"/>
  <c r="P30" i="48" l="1"/>
  <c r="S31" i="48"/>
  <c r="D3" i="9" l="1"/>
  <c r="B32" i="13" l="1"/>
  <c r="Q23" i="13"/>
  <c r="Q24" i="13" s="1"/>
  <c r="M24" i="13"/>
  <c r="B70" i="13"/>
  <c r="D3" i="8" s="1"/>
  <c r="D4" i="6"/>
  <c r="B49" i="13"/>
  <c r="B42" i="13"/>
  <c r="D3" i="6"/>
  <c r="B43" i="13"/>
  <c r="B53" i="13" s="1"/>
  <c r="B38" i="13"/>
  <c r="B54" i="13" l="1"/>
  <c r="B34" i="13"/>
  <c r="B23" i="13"/>
  <c r="B27" i="13" s="1"/>
  <c r="B63" i="13" l="1"/>
  <c r="D3" i="7"/>
  <c r="B57" i="13"/>
  <c r="B28" i="13"/>
  <c r="E31" i="13"/>
  <c r="D31" i="13"/>
  <c r="B64" i="13" l="1"/>
  <c r="B31" i="13"/>
  <c r="B35" i="13" s="1"/>
  <c r="D5" i="5"/>
  <c r="D5" i="7" s="1"/>
  <c r="D3" i="5" l="1"/>
  <c r="B36" i="13"/>
  <c r="D4" i="8" l="1"/>
  <c r="B18" i="13" l="1"/>
  <c r="D7" i="6"/>
  <c r="D6" i="6"/>
  <c r="B73" i="13" l="1"/>
  <c r="D5" i="8" s="1"/>
  <c r="M15" i="32"/>
  <c r="M16" i="32"/>
  <c r="M14" i="32"/>
  <c r="M12" i="32"/>
  <c r="M13" i="32"/>
  <c r="M11" i="32"/>
  <c r="M9" i="32"/>
  <c r="M10" i="32"/>
  <c r="M8" i="32"/>
  <c r="M6" i="32"/>
  <c r="M7" i="32"/>
  <c r="M5" i="32"/>
  <c r="M3" i="32"/>
  <c r="M18" i="32" s="1"/>
  <c r="M4" i="32"/>
  <c r="M2" i="32"/>
  <c r="B80" i="13" l="1"/>
  <c r="B79" i="13"/>
  <c r="D2" i="9" l="1"/>
  <c r="D8" i="9" s="1"/>
  <c r="D15" i="8"/>
  <c r="B75" i="13"/>
  <c r="D16" i="8" s="1"/>
  <c r="G71" i="13"/>
  <c r="D9" i="9" l="1"/>
  <c r="D2" i="8"/>
  <c r="D16" i="4" l="1"/>
  <c r="G84" i="13" l="1"/>
  <c r="C2" i="9" l="1"/>
  <c r="B21" i="13" l="1"/>
  <c r="B14" i="13" l="1"/>
  <c r="B15" i="13" s="1"/>
  <c r="B11" i="13" l="1"/>
  <c r="D17" i="4" s="1"/>
  <c r="B12" i="13" l="1"/>
  <c r="D18" i="4" s="1"/>
  <c r="D2" i="4" s="1"/>
  <c r="D25" i="4" s="1"/>
  <c r="B2" i="9"/>
  <c r="C2" i="8"/>
  <c r="B2" i="8"/>
  <c r="C2" i="7"/>
  <c r="B2" i="7"/>
  <c r="C2" i="6"/>
  <c r="B2" i="6"/>
  <c r="C2" i="5"/>
  <c r="B2" i="5"/>
  <c r="D6" i="4" l="1"/>
  <c r="D7" i="4"/>
  <c r="D4"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Crenna, Eleonora</author>
    <author>Eleonora Crenna</author>
  </authors>
  <commentList>
    <comment ref="C15" authorId="0" shapeId="0" xr:uid="{040E7BA0-806D-45B4-A570-8D0D68535D10}">
      <text>
        <r>
          <rPr>
            <sz val="9"/>
            <color indexed="81"/>
            <rFont val="Tahoma"/>
            <family val="2"/>
          </rPr>
          <t>Associated with the emissions of metals and other compounds from the application of chemical substances, unless further specified</t>
        </r>
      </text>
    </comment>
    <comment ref="F15" authorId="1" shapeId="0" xr:uid="{FBB18DE0-92A2-4E50-84E1-46DFBCF51706}">
      <text>
        <r>
          <rPr>
            <sz val="9"/>
            <color indexed="81"/>
            <rFont val="Tahoma"/>
            <family val="2"/>
          </rPr>
          <t>Plant Protection Product</t>
        </r>
      </text>
    </comment>
    <comment ref="C18" authorId="1" shapeId="0" xr:uid="{FD94A553-5075-48D1-917B-CAE844796CB6}">
      <text>
        <r>
          <rPr>
            <b/>
            <sz val="9"/>
            <color indexed="81"/>
            <rFont val="Tahoma"/>
            <family val="2"/>
          </rPr>
          <t>Eleonora Crenna:</t>
        </r>
        <r>
          <rPr>
            <sz val="9"/>
            <color indexed="81"/>
            <rFont val="Tahoma"/>
            <family val="2"/>
          </rPr>
          <t xml:space="preserve">
emissions of chloride and imidacloprid</t>
        </r>
      </text>
    </comment>
    <comment ref="C20" authorId="1" shapeId="0" xr:uid="{1AB15B2D-F22A-4EDA-82F0-A668BC496F7C}">
      <text>
        <r>
          <rPr>
            <b/>
            <sz val="9"/>
            <color indexed="81"/>
            <rFont val="Tahoma"/>
            <family val="2"/>
          </rPr>
          <t>Eleonora Crenna:</t>
        </r>
        <r>
          <rPr>
            <sz val="9"/>
            <color indexed="81"/>
            <rFont val="Tahoma"/>
            <family val="2"/>
          </rPr>
          <t xml:space="preserve">
emission of nitrates</t>
        </r>
      </text>
    </comment>
    <comment ref="C21" authorId="1" shapeId="0" xr:uid="{3D2EAFB6-E29A-43C5-B997-F844AD697E96}">
      <text>
        <r>
          <rPr>
            <b/>
            <sz val="9"/>
            <color indexed="81"/>
            <rFont val="Tahoma"/>
            <family val="2"/>
          </rPr>
          <t>Eleonora Crenna:</t>
        </r>
        <r>
          <rPr>
            <sz val="9"/>
            <color indexed="81"/>
            <rFont val="Tahoma"/>
            <family val="2"/>
          </rPr>
          <t xml:space="preserve">
emissions of phosphate</t>
        </r>
      </text>
    </comment>
    <comment ref="C26" authorId="1" shapeId="0" xr:uid="{8D5FF38F-0B94-4A6C-BF33-F95D0514A16B}">
      <text>
        <r>
          <rPr>
            <b/>
            <sz val="9"/>
            <color indexed="81"/>
            <rFont val="Tahoma"/>
            <family val="2"/>
          </rPr>
          <t>Eleonora Crenna:</t>
        </r>
        <r>
          <rPr>
            <sz val="9"/>
            <color indexed="81"/>
            <rFont val="Tahoma"/>
            <family val="2"/>
          </rPr>
          <t xml:space="preserve">
Occupation, permanent crop, irrigated</t>
        </r>
      </text>
    </comment>
    <comment ref="D31" authorId="1" shapeId="0" xr:uid="{57A6FA0D-6F93-4635-A673-1F8EDE37FB1E}">
      <text>
        <r>
          <rPr>
            <b/>
            <sz val="9"/>
            <color indexed="81"/>
            <rFont val="Tahoma"/>
            <family val="2"/>
          </rPr>
          <t>Eleonora Crenna:</t>
        </r>
        <r>
          <rPr>
            <sz val="9"/>
            <color indexed="81"/>
            <rFont val="Tahoma"/>
            <family val="2"/>
          </rPr>
          <t xml:space="preserve">
water as resource (use and emissions)</t>
        </r>
      </text>
    </comment>
  </commentList>
</comments>
</file>

<file path=xl/sharedStrings.xml><?xml version="1.0" encoding="utf-8"?>
<sst xmlns="http://schemas.openxmlformats.org/spreadsheetml/2006/main" count="1080" uniqueCount="499">
  <si>
    <t xml:space="preserve">OUTPUTS </t>
  </si>
  <si>
    <t>INPUTS</t>
  </si>
  <si>
    <t>Unit</t>
  </si>
  <si>
    <t>kg</t>
  </si>
  <si>
    <t>wastewater</t>
  </si>
  <si>
    <t>m3</t>
  </si>
  <si>
    <t>food waste treatment</t>
  </si>
  <si>
    <t>m2</t>
  </si>
  <si>
    <t>tkm</t>
  </si>
  <si>
    <t>kWh</t>
  </si>
  <si>
    <t>unit</t>
  </si>
  <si>
    <t>infrastructure, portion of packaging site</t>
  </si>
  <si>
    <t>pre-cooled citrus</t>
  </si>
  <si>
    <t>transport from packaging factory to pre-cooling site</t>
  </si>
  <si>
    <t xml:space="preserve">INPUTS </t>
  </si>
  <si>
    <t>cooled citrus</t>
  </si>
  <si>
    <t>storaged citrus</t>
  </si>
  <si>
    <t>sold citrus</t>
  </si>
  <si>
    <t>consumed citrus</t>
  </si>
  <si>
    <t>[consumed citrus]</t>
  </si>
  <si>
    <t>transport from retailer to consumer</t>
  </si>
  <si>
    <t>FromTechnosphere</t>
  </si>
  <si>
    <t>Byproduct/Waste</t>
  </si>
  <si>
    <t>Name</t>
  </si>
  <si>
    <t>Value</t>
  </si>
  <si>
    <t>Description</t>
  </si>
  <si>
    <t>2. packaging</t>
  </si>
  <si>
    <t>1. cultivation</t>
  </si>
  <si>
    <t>n.a.</t>
  </si>
  <si>
    <t>kg/m3</t>
  </si>
  <si>
    <t>South Africa</t>
  </si>
  <si>
    <t>Crops and livestock products</t>
  </si>
  <si>
    <t>Flag Description</t>
  </si>
  <si>
    <t>Flag</t>
  </si>
  <si>
    <t>Year</t>
  </si>
  <si>
    <t>Year Code</t>
  </si>
  <si>
    <t>Item</t>
  </si>
  <si>
    <t>Element</t>
  </si>
  <si>
    <t>Element Code</t>
  </si>
  <si>
    <t>Area</t>
  </si>
  <si>
    <t>Domain</t>
  </si>
  <si>
    <t>Domain Code</t>
  </si>
  <si>
    <t>tonnes</t>
  </si>
  <si>
    <t>WFLDP (World Food LCA Database) guidelines, v.3.5 released in 2019, updated in 2020</t>
  </si>
  <si>
    <t>[-]</t>
  </si>
  <si>
    <t>Initial fruit temperature (degC)</t>
  </si>
  <si>
    <t>degC</t>
  </si>
  <si>
    <t>Final fruit temperature (cooled to..) (degC)</t>
  </si>
  <si>
    <t>J/kg/K</t>
  </si>
  <si>
    <t>Energy coefficient</t>
  </si>
  <si>
    <t>kJ heat removed / kJ electricity consumed</t>
  </si>
  <si>
    <t>km</t>
  </si>
  <si>
    <t>kg one fruit</t>
  </si>
  <si>
    <t>infrastructure, portion of pre-cooling centre</t>
  </si>
  <si>
    <t>infrastructure, portion of storage centre</t>
  </si>
  <si>
    <t>infrastructure, portion of retailer</t>
  </si>
  <si>
    <t xml:space="preserve">transport oversea </t>
  </si>
  <si>
    <t>transport from harbour to storage centre</t>
  </si>
  <si>
    <t>6. retail</t>
  </si>
  <si>
    <t xml:space="preserve">food waste during transport </t>
  </si>
  <si>
    <t>max (if available)</t>
  </si>
  <si>
    <t>-</t>
  </si>
  <si>
    <t>kg/y</t>
  </si>
  <si>
    <t>carton_weight</t>
  </si>
  <si>
    <t>kg/ kg fruit</t>
  </si>
  <si>
    <t>[packed citrus]</t>
  </si>
  <si>
    <t>packed citrus</t>
  </si>
  <si>
    <t>1 kg packed citrus = ctirus + carton (portion) + pallet (portion)</t>
  </si>
  <si>
    <t>1 pallet unit weights approx. 25 kg; 1 pallet is used to support (15.5 * 80 =) 1240 kg fruit and (0.074 * 15.5 * 80 =) 91.76 kg carton</t>
  </si>
  <si>
    <t>cartons per pallet</t>
  </si>
  <si>
    <t>cartons_per_pallet</t>
  </si>
  <si>
    <t>fruit_average_weight</t>
  </si>
  <si>
    <t>fruit_per_carton_weight</t>
  </si>
  <si>
    <t>fruit_per_carton_number</t>
  </si>
  <si>
    <t>kg fruits per carton</t>
  </si>
  <si>
    <t>pallet_weight</t>
  </si>
  <si>
    <t>share_fresh</t>
  </si>
  <si>
    <t>share_processing</t>
  </si>
  <si>
    <t>container</t>
  </si>
  <si>
    <t>pallet_per_container</t>
  </si>
  <si>
    <t>min or alternative (if available)</t>
  </si>
  <si>
    <t>[sorted out citrus]/ byproduct with value, allocation</t>
  </si>
  <si>
    <t>defect, sold on the local market</t>
  </si>
  <si>
    <t>waste</t>
  </si>
  <si>
    <t>2–5 micron layer of commercial wax. Source:  https://doi.org/10.1111/j.1745-4549.1985.tb00703.x</t>
  </si>
  <si>
    <t>wax_thickness</t>
  </si>
  <si>
    <t>m</t>
  </si>
  <si>
    <t>wax_volume_per_fruit</t>
  </si>
  <si>
    <t>fruit_diameter</t>
  </si>
  <si>
    <t>wax_density</t>
  </si>
  <si>
    <t>from wikipedia: https://en.wikipedia.org/wiki/Paraffin_wax</t>
  </si>
  <si>
    <t>transport_packhouse</t>
  </si>
  <si>
    <t xml:space="preserve">Amount </t>
  </si>
  <si>
    <t>Amount</t>
  </si>
  <si>
    <t>transport_to_port</t>
  </si>
  <si>
    <t>transport_ship</t>
  </si>
  <si>
    <t>the cooling area is at the packhouse</t>
  </si>
  <si>
    <t xml:space="preserve">Specific heat capacity, fruit specific. </t>
  </si>
  <si>
    <t>Source: https://www.engineeringtoolbox.com/specific-heat-capacity-food-d_295.html</t>
  </si>
  <si>
    <t>Ti_pre-cooling</t>
  </si>
  <si>
    <t>Tf_pre-cooling</t>
  </si>
  <si>
    <t>Cp_fruit</t>
  </si>
  <si>
    <t>kWh / 1 kg fruit</t>
  </si>
  <si>
    <t>EC_pre-cooling</t>
  </si>
  <si>
    <t>Calculated as energy (heat in kJ) to be removed from container per 1 kg fruit (m*cp*delta T) / EC / 1000 / conversion factor MJ to kWh</t>
  </si>
  <si>
    <t xml:space="preserve">electricity demand for pre-cooling </t>
  </si>
  <si>
    <t>Tf_sea_shipment</t>
  </si>
  <si>
    <t>Electricity for keeping the temperature at port, before sending it to the retailers</t>
  </si>
  <si>
    <t>T_amb_shipment</t>
  </si>
  <si>
    <t>transport from storage site to retailer, by truck/lorry. A retailer in NL is assumed, no fruit goes to CH from NL. https://www.europages.co.uk/cartographie/Fruits%20and%20vegetables%20-%20import-export.html</t>
  </si>
  <si>
    <t>[pre-cooled packed citrus]</t>
  </si>
  <si>
    <t>[cooled packed citrus]</t>
  </si>
  <si>
    <t>[stored packed citrus]</t>
  </si>
  <si>
    <t>transport_to_retail</t>
  </si>
  <si>
    <t>https://trucksuvidha.com/DistanceCalculator.aspx</t>
  </si>
  <si>
    <t>Rotterdam to Amsterdam, 1.07.22</t>
  </si>
  <si>
    <t>Rotterdam to The Hauge, 1.07.22</t>
  </si>
  <si>
    <t>Rotterdam to Eindhoven, 1.07.22</t>
  </si>
  <si>
    <t>https://www.123cargo.eu/en/map#8.73/52.1438/4.3977/0/0/s%7C4.47917%2C51.9225%7CRotterdam%2C%20South%20Holland%2C%20NL%2Fd%7C4.88969%2C52.37403%7CAmsterdam%2C%20North%20Holland%2C%20NL</t>
  </si>
  <si>
    <t>transport_to_house</t>
  </si>
  <si>
    <t xml:space="preserve">The seven-eighths cooling time (SECT, t7/8) is the time required to reduce the difference in temperature between fruit and delivery air by seven eighths. Calculated based on Wu et al. 2019 . </t>
  </si>
  <si>
    <t>d</t>
  </si>
  <si>
    <t>Ambient temperature, can be set by the practitioner depending on external condition (e.g. 19degC is October T° in ZA)</t>
  </si>
  <si>
    <t>Electricity consumed per 1 kg fruit (kWh/kg fruit)</t>
  </si>
  <si>
    <t>kWh/kg fruit</t>
  </si>
  <si>
    <t>p_lin1</t>
  </si>
  <si>
    <t>p_lin2</t>
  </si>
  <si>
    <t>SECT_shipment</t>
  </si>
  <si>
    <t>time_storage</t>
  </si>
  <si>
    <t>T_amb_storage</t>
  </si>
  <si>
    <t>SECT_storage</t>
  </si>
  <si>
    <t>share_biowaste_consumer</t>
  </si>
  <si>
    <t>[sold citrus]</t>
  </si>
  <si>
    <t>we assume that the oranges are sold as single items, no packaging which remains at the retailer and it is disposed or recycled there</t>
  </si>
  <si>
    <t>7. consumer (we assume no energy consumption for mantaining T, as orange can be stored outside the fridge at home)</t>
  </si>
  <si>
    <t>time_retail</t>
  </si>
  <si>
    <t>5. storage (mantaining T, e.g. at 4 degC)</t>
  </si>
  <si>
    <t>6. retail (fruit warm up during few hours of transport to e.g. circa 8degC, here is about mantaining T at e.g. 8degC)</t>
  </si>
  <si>
    <t>time dependent</t>
  </si>
  <si>
    <t>time dependend</t>
  </si>
  <si>
    <t>Calculated as energy (heat in kJ) to be removed from container per 1 kg fruit (m*cp*delta T) / EC / 1000 / conversion factor MJ to kWh; temperature dependent</t>
  </si>
  <si>
    <t>Electricity for keeping the T at retail</t>
  </si>
  <si>
    <t>2. packaging &amp; palletization</t>
  </si>
  <si>
    <t>3. pre-cooling</t>
  </si>
  <si>
    <t>5. storage</t>
  </si>
  <si>
    <t>Sheet name</t>
  </si>
  <si>
    <t>refs.</t>
  </si>
  <si>
    <t>LCI parameters</t>
  </si>
  <si>
    <t xml:space="preserve">This is accounted for inside the transport exchange. So it should not be acocunted for as infrastructure separately. </t>
  </si>
  <si>
    <t>it is the same amount of citrus as RefProd, because there is no loss here</t>
  </si>
  <si>
    <t>box_width</t>
  </si>
  <si>
    <t>Wu et al. 2019, Supervent box taken as proxy</t>
  </si>
  <si>
    <t>box_length</t>
  </si>
  <si>
    <t>carton wasted at retailer</t>
  </si>
  <si>
    <t>share_food_loss_retail</t>
  </si>
  <si>
    <t>sum of outputs for mass balance</t>
  </si>
  <si>
    <t>shared_landfil_consumer</t>
  </si>
  <si>
    <t>MJ</t>
  </si>
  <si>
    <t>share_compost</t>
  </si>
  <si>
    <t xml:space="preserve">m </t>
  </si>
  <si>
    <t>packhouse_size</t>
  </si>
  <si>
    <t>packhouse_PV</t>
  </si>
  <si>
    <t>packhouse_lifetime</t>
  </si>
  <si>
    <t>share_orange</t>
  </si>
  <si>
    <t>y</t>
  </si>
  <si>
    <t>Area Code (M49)</t>
  </si>
  <si>
    <t>Item Code (CPC)</t>
  </si>
  <si>
    <t>TCL</t>
  </si>
  <si>
    <t>Export Quantity</t>
  </si>
  <si>
    <t>Lemons and limes</t>
  </si>
  <si>
    <t>Oranges</t>
  </si>
  <si>
    <t>Tangerines, mandarins, clementines</t>
  </si>
  <si>
    <t>retail_size</t>
  </si>
  <si>
    <t>retail_lifetime</t>
  </si>
  <si>
    <t>https://www.soleilsitrus.co.za/packhouse/#:~:text=The%20size%20of%20the%20packhouse,small%20amount%20of%20easy%20peelers</t>
  </si>
  <si>
    <t>cultivated citrus</t>
  </si>
  <si>
    <t xml:space="preserve">tonnes*km = 1 kg transported over 1000 km. </t>
  </si>
  <si>
    <t>Water Consumption, unspecified natural origin (NL)</t>
  </si>
  <si>
    <t>ecoinvent default value</t>
  </si>
  <si>
    <t>orange production, fresh grade</t>
  </si>
  <si>
    <t>orange, fresh grade</t>
  </si>
  <si>
    <t>wax_volume_per_fruit*wax_density*((fruit_per_carton_weight*cartons_per_pallet)/((fruit_per_carton_weight+carton_weight*fruit_per_carton_weight)*cartons_per_pallet+pallet_weight)/share_fresh)</t>
  </si>
  <si>
    <t xml:space="preserve">Product: </t>
  </si>
  <si>
    <t xml:space="preserve">Method: </t>
  </si>
  <si>
    <t>Impact category</t>
  </si>
  <si>
    <t>check sum</t>
  </si>
  <si>
    <t>Climate change</t>
  </si>
  <si>
    <t>kg CO2 eq</t>
  </si>
  <si>
    <t>Ozone depletion</t>
  </si>
  <si>
    <t>kg CFC11 eq</t>
  </si>
  <si>
    <t>Ionising radiation</t>
  </si>
  <si>
    <t>kBq U-235 eq</t>
  </si>
  <si>
    <t>Photochemical ozone formation</t>
  </si>
  <si>
    <t>kg NMVOC eq</t>
  </si>
  <si>
    <t>Particulate matter</t>
  </si>
  <si>
    <t>disease inc.</t>
  </si>
  <si>
    <t>Human toxicity, non-cancer</t>
  </si>
  <si>
    <t>CTUh</t>
  </si>
  <si>
    <t>Human toxicity, cancer</t>
  </si>
  <si>
    <t>Acidification</t>
  </si>
  <si>
    <t>mol H+ eq</t>
  </si>
  <si>
    <t>Eutrophication, freshwater</t>
  </si>
  <si>
    <t>kg P eq</t>
  </si>
  <si>
    <t>Eutrophication, marine</t>
  </si>
  <si>
    <t>kg N eq</t>
  </si>
  <si>
    <t>Eutrophication, terrestrial</t>
  </si>
  <si>
    <t>mol N eq</t>
  </si>
  <si>
    <t>Ecotoxicity, freshwater</t>
  </si>
  <si>
    <t>CTUe</t>
  </si>
  <si>
    <t>Land use</t>
  </si>
  <si>
    <t>Pt</t>
  </si>
  <si>
    <t>Water use</t>
  </si>
  <si>
    <t>m3 depriv.</t>
  </si>
  <si>
    <t>Resource use, fossils</t>
  </si>
  <si>
    <t>Resource use, minerals and metals</t>
  </si>
  <si>
    <t>kg Sb eq</t>
  </si>
  <si>
    <t>Direct impact from citrus cultivation</t>
  </si>
  <si>
    <t>CC</t>
  </si>
  <si>
    <t>OD</t>
  </si>
  <si>
    <t>IR</t>
  </si>
  <si>
    <t>POF</t>
  </si>
  <si>
    <t>PM</t>
  </si>
  <si>
    <t>AC</t>
  </si>
  <si>
    <t>LU</t>
  </si>
  <si>
    <t>WU</t>
  </si>
  <si>
    <t>RU_f</t>
  </si>
  <si>
    <t>RU_mm</t>
  </si>
  <si>
    <t>see above</t>
  </si>
  <si>
    <t>electricity demand for keeping the temperature en-route on the ship</t>
  </si>
  <si>
    <t>MJ / 1 kg fruit</t>
  </si>
  <si>
    <t>T_amb_port</t>
  </si>
  <si>
    <t>Total energy</t>
  </si>
  <si>
    <t>Electricity consumed for precooling (first step, decreasing T°C) per 1 kg fruit</t>
  </si>
  <si>
    <t>SECT_pre_cooling</t>
  </si>
  <si>
    <t>time_pre_cooling</t>
  </si>
  <si>
    <t>capacity_pre_cooling</t>
  </si>
  <si>
    <t>Calculated</t>
  </si>
  <si>
    <t>Electricity consumed for precooling (2nd step, maintaining T°C) per 1 kg fruit</t>
  </si>
  <si>
    <t>pallet_per_pre_cooling</t>
  </si>
  <si>
    <t>EC_to_port</t>
  </si>
  <si>
    <t>Tf_to_port</t>
  </si>
  <si>
    <t>time_sea_shipment</t>
  </si>
  <si>
    <t>Ambient temperature, can be set by the practitioner depending on external condition (e.g. 12-22 degC is October T° in ZA) - see above notes in pre-cooling</t>
  </si>
  <si>
    <t>Ti_at_port = Tf_pre_cooling</t>
  </si>
  <si>
    <t>Source: https://weather-and-climate.com/averages-Netherlands-November</t>
  </si>
  <si>
    <t>electricity demand for cooling down on the truck</t>
  </si>
  <si>
    <t>Ti_storage = Tf_sea_shipment</t>
  </si>
  <si>
    <t>Tf_storage = Ti_storage</t>
  </si>
  <si>
    <t>External ambient temperature, can be set by the practitioner depending on external condition (e.g. November in Rotterdam/ The Netherlands)</t>
  </si>
  <si>
    <t>EC</t>
  </si>
  <si>
    <t xml:space="preserve">Source: https://www.engineeringtoolbox.com/specific-heat-capacity-food-d_295.html </t>
  </si>
  <si>
    <t>diesel consumed for precooling per 1 kg fruit</t>
  </si>
  <si>
    <t>kWh/kg fruit/day</t>
  </si>
  <si>
    <t>at 9degC storage temperature, based on Table S7 in Stoessel et al. 2012 Supplem.</t>
  </si>
  <si>
    <t>storage_energy_at_retail</t>
  </si>
  <si>
    <t>drop of 87.5% =</t>
  </si>
  <si>
    <t>SECT = circa</t>
  </si>
  <si>
    <t>Tf =</t>
  </si>
  <si>
    <t>h</t>
  </si>
  <si>
    <t>share_citrus_BoP_Food</t>
  </si>
  <si>
    <t>Values</t>
  </si>
  <si>
    <t>NORMALISATION FACTORS</t>
  </si>
  <si>
    <t>WEIGTHING FACTORS</t>
  </si>
  <si>
    <t>EF3.0 NFs</t>
  </si>
  <si>
    <t>WF</t>
  </si>
  <si>
    <t>Pt. per person</t>
  </si>
  <si>
    <t>acidification</t>
  </si>
  <si>
    <t>mol H+ eq/person</t>
  </si>
  <si>
    <t>climate change</t>
  </si>
  <si>
    <t>kg CO2 eq/person</t>
  </si>
  <si>
    <t>ETOX</t>
  </si>
  <si>
    <t>ecotoxicity: freshwater</t>
  </si>
  <si>
    <t>CTUe/person</t>
  </si>
  <si>
    <t>RU-f</t>
  </si>
  <si>
    <t xml:space="preserve">energy resources: non-renewable </t>
  </si>
  <si>
    <t>MJ/person</t>
  </si>
  <si>
    <t>EU-f</t>
  </si>
  <si>
    <t xml:space="preserve">eutrophication: freshwater </t>
  </si>
  <si>
    <t>kg P eq/person</t>
  </si>
  <si>
    <t>EU-m</t>
  </si>
  <si>
    <t xml:space="preserve">eutrophication: marine </t>
  </si>
  <si>
    <t>kg N eq/person</t>
  </si>
  <si>
    <t>EU-t</t>
  </si>
  <si>
    <t xml:space="preserve">eutrophication: terrestrial </t>
  </si>
  <si>
    <t>mol N eq/person</t>
  </si>
  <si>
    <t>HOTX-c</t>
  </si>
  <si>
    <t>human toxicity: carcinogenic</t>
  </si>
  <si>
    <t>CTUh/person</t>
  </si>
  <si>
    <t>HOTX-nc</t>
  </si>
  <si>
    <t xml:space="preserve">human toxicity: non-carcinogenic </t>
  </si>
  <si>
    <t xml:space="preserve">ionising radiation: human health </t>
  </si>
  <si>
    <t>kBq U-235 eq/person</t>
  </si>
  <si>
    <t xml:space="preserve">land use </t>
  </si>
  <si>
    <t>Pt/person</t>
  </si>
  <si>
    <t>RU-mm</t>
  </si>
  <si>
    <t xml:space="preserve">material resources: metals/minerals </t>
  </si>
  <si>
    <t>kg Sb eq/person</t>
  </si>
  <si>
    <t xml:space="preserve">ozone depletion </t>
  </si>
  <si>
    <t>kg CFC11 eq/person</t>
  </si>
  <si>
    <t xml:space="preserve">particulate matter formation </t>
  </si>
  <si>
    <t>disease inc./person</t>
  </si>
  <si>
    <t xml:space="preserve">photochemical ozone formation: human health </t>
  </si>
  <si>
    <t>kg NMVOC eq/person</t>
  </si>
  <si>
    <t xml:space="preserve">water use </t>
  </si>
  <si>
    <t>m3 depriv./person</t>
  </si>
  <si>
    <t>Divide by NF, then multiply by WF</t>
  </si>
  <si>
    <t>EU_t</t>
  </si>
  <si>
    <t>EU_f</t>
  </si>
  <si>
    <t>Ecotox</t>
  </si>
  <si>
    <t>EU_m</t>
  </si>
  <si>
    <t>HTox_nc</t>
  </si>
  <si>
    <t>Htox_c</t>
  </si>
  <si>
    <t>Htox_nc</t>
  </si>
  <si>
    <t>application of normalization and weighting factors to identify the most affected impact categories</t>
  </si>
  <si>
    <t>Pre-harvest</t>
  </si>
  <si>
    <t>Post-harvest</t>
  </si>
  <si>
    <t>Sum</t>
  </si>
  <si>
    <t>Ecoinvent v.3.9.1. dataset</t>
  </si>
  <si>
    <t>Activity name</t>
  </si>
  <si>
    <t>Reference product</t>
  </si>
  <si>
    <t>1 kg</t>
  </si>
  <si>
    <t>Geography</t>
  </si>
  <si>
    <t>South Africa (ZA)</t>
  </si>
  <si>
    <t>Sector</t>
  </si>
  <si>
    <t>Agriculture and animal husbandry</t>
  </si>
  <si>
    <t>Activity type</t>
  </si>
  <si>
    <t>Transformation activity</t>
  </si>
  <si>
    <t xml:space="preserve">Available at: </t>
  </si>
  <si>
    <t>https://ecoquery.ecoinvent.org/3.9.1/cutoff/dataset/15278/documentation</t>
  </si>
  <si>
    <t>tap water, used for washing the oranges</t>
  </si>
  <si>
    <t xml:space="preserve">Based on Stoessel et al. 2012 as a proxy </t>
  </si>
  <si>
    <t>Comments</t>
  </si>
  <si>
    <t>Wax for the waxing process</t>
  </si>
  <si>
    <t>Info from wax: https://www.foodpackagingforum.org/food-packaging-health/food-packaging-materials/wax</t>
  </si>
  <si>
    <t>Electricity for drying the way</t>
  </si>
  <si>
    <t>secondary packaging material</t>
  </si>
  <si>
    <t xml:space="preserve">This value was not estimated due to lack of data. It could be considered in the future for further analysis. </t>
  </si>
  <si>
    <t>Ecoinvent v.3.9.1 exchange</t>
  </si>
  <si>
    <t>Info from shipment documents. 1 carton box contains 15.5 kg citrus fruits, circa 70 fruit/carton, 80 carton per pallet. Based on Wu et al. 2019: 0.074 kg carton per kg fruit is needed.</t>
  </si>
  <si>
    <t>Proxy from ecoinvent dataset "mandarin production, sorted and graded ZA, 2016", where the ratio of conveyor belt length to packhouse area was assumed to be 0.25m/m2 and lifetime expectancy was assumed to 25 years. In future, this could be calculated based on the length of the conveyor belt in a real packhouse taken as reference.</t>
  </si>
  <si>
    <t xml:space="preserve">Calculation based on dimension packhouse (7500 m2, Soleil Sitrus), production volume (250000 kg/day, and the assumption of 50 y lifetime), and 67% share of oranges based on trade from 2016 to 2020 as in FAOSTAT because the packhouse deals with both oranges, lemons, etc. The calculated value is of the same order of magnitude as the value in ecoinvent dataset "mandarin production, sorted and graded, ZA, 2016", i.e. 2.82E-06 m2/kg. </t>
  </si>
  <si>
    <t>Electricity used for the operation of the conveyor belt, lighting and other machinery</t>
  </si>
  <si>
    <t>Proxy from ecoinvent dataset "mandarin production, sorted and graded ZA, 2016", where the amount of electricity used was calculated to 55.5 kWh grid electricity per ton of soft citrus marketed and then scaled to the reference flow of 1 kg. In future, this could be calculated based on the information from a real packhouse taken as reference.</t>
  </si>
  <si>
    <t>transport from field to packaging factory</t>
  </si>
  <si>
    <t>tonnes*km = 1 kg transported over 1000 km. Average 10 km distance.</t>
  </si>
  <si>
    <t>Reference Product</t>
  </si>
  <si>
    <t xml:space="preserve">Water from washing ends into wastewater. Therefore, this is the same amount as input. </t>
  </si>
  <si>
    <r>
      <t xml:space="preserve">Chavan, P., Singh, A. K., &amp; Kaur, G. (2018). Recent progress in the utilization of industrial waste and by‐products of citrus fruits: A review. </t>
    </r>
    <r>
      <rPr>
        <i/>
        <sz val="10"/>
        <color theme="1"/>
        <rFont val="Segoe UI"/>
        <family val="2"/>
      </rPr>
      <t>Journal of Food Process Engineering</t>
    </r>
    <r>
      <rPr>
        <sz val="10"/>
        <color theme="1"/>
        <rFont val="Segoe UI"/>
        <family val="2"/>
      </rPr>
      <t xml:space="preserve">, </t>
    </r>
    <r>
      <rPr>
        <i/>
        <sz val="10"/>
        <color theme="1"/>
        <rFont val="Segoe UI"/>
        <family val="2"/>
      </rPr>
      <t>41</t>
    </r>
    <r>
      <rPr>
        <sz val="10"/>
        <color theme="1"/>
        <rFont val="Segoe UI"/>
        <family val="2"/>
      </rPr>
      <t>(8), e12895.</t>
    </r>
  </si>
  <si>
    <t>Estimated based on Wu et al. 2019 --&gt; see "LCI parameters". Based on fruit volume/mass, heat capacity, temperature. Mapped as low voltage as reported in Wu et al. 2019 SM.</t>
  </si>
  <si>
    <t xml:space="preserve">60 pallets per pre-cooling tunnel. EUR pallets are 800 mm × 1,200 mm × 144 mm  (wikipedia) -&gt; 0.8 m x 1.2 m = 0.96 m2 (surface 1 pallet) -&gt; 0.96 m2 * 60 pallets / (80 cartons *15.5 kg which is the weight of fruit per pallet * 60 pallets * 50 life time from ecoinvent) </t>
  </si>
  <si>
    <t>According to local experts' communication, no citrus is thrown away after cooling prior to shipping. We assumed that waste happens then only at 1. cultivation, where citrus which have no high quality to be cooled and shipped as fresh fruit, are directed to processing as juice or thrown away.</t>
  </si>
  <si>
    <t>Estimated based on Wu et al. 2019 --&gt; see "LCI parameters". Based on fruit volume/mass, heat capacity, temperature. Low voltage as reported in Wu et al. 2019 SM. The electricity generation for container cooling is modeled with a diesel-electric generating set (ecoinvent process “Diesel, burned in diesel-electric generating set, 18.5 kW)</t>
  </si>
  <si>
    <t>According to local experts' communication, the standard practice does not foresee food waste at this stage. Food waste happens before packing them, right after harvest</t>
  </si>
  <si>
    <t>Estimated based on Wu et al. 2019 --&gt; see "LCI parameters". Based on fruit volume/mass, heat capacity, temperature. Low voltage as reported in Wu et al. 2019</t>
  </si>
  <si>
    <t xml:space="preserve">As a proxy, it can be assumed that this is the same area occupied as in the pre-cooling step. This assumption can be refined in future with the availability of real data. </t>
  </si>
  <si>
    <t>storage centre is close to/ at the port. Example: https://www.ctp.eu/files/2022/06/Announcement-CTP-Delivers-First-Ultra-Sustainable-Distribution-Centre-in-the-Netherlands-FINAL.pdf</t>
  </si>
  <si>
    <t>per kg fruit , as in 2. packaging and palletization</t>
  </si>
  <si>
    <t>Food damaged due to lack of cooling/storage facilities, Expired food, Unsold food, Food rejected after quality controls (EC 202).</t>
  </si>
  <si>
    <t>Water used to spray the fruit and keep it fresh</t>
  </si>
  <si>
    <t xml:space="preserve">At the moment, we did not include this in the analysis due to lack of data. This can be estimated in future. </t>
  </si>
  <si>
    <t>The retail shop in the Netherland varies from 800 -1320 m2 in size. A proxy is based on the size of the box we know at the packhouse as reference. The boxes from Wu et al. 2019 are circa 30 cm * 40 cm, which makes a surface of 1200 cm2 = 0.12 m2 . A Supervent box contains 15.5kg, so 0.12 m2 / 15 kg = 0.0077 m2 occupied by 1kg oranges. Lifetime retail assumed to be 50y</t>
  </si>
  <si>
    <t>Mapped as low voltage as in Wu et al. 2019 SM. Calculation based on assumption as in Stoessel et al. 2012, Table S7</t>
  </si>
  <si>
    <t xml:space="preserve">Type of transport as reported in Wu et al. 2019 SM. </t>
  </si>
  <si>
    <t xml:space="preserve">allocated to the % of oranges (average) consumed within the entire food basket according to Castellani et al. (2017), which is used as proxy for the mass share of citrus in grocery shopping trips. </t>
  </si>
  <si>
    <t>Castellani, V., Fusi, A., &amp; Sala, S. (2017). Consumer Footprint. Basket of Products indicator on Food, EUR 28764 EN, Publications Office of the European Union, Luxembourg, 2017.</t>
  </si>
  <si>
    <t>personal communication from shipments (average)</t>
  </si>
  <si>
    <t>personal communication from shipments (average). Corresponds with max value from Wu et al. 2019 , for Supervent</t>
  </si>
  <si>
    <t>[for verification/validation only] Calculated value.</t>
  </si>
  <si>
    <t>Wu et al. 2019 SM: The material use for packaging is modeled assuming recyclable corrugated cardboard with a weight of 0.074 kg/kg of fruit for the Standard and the Supervent box and 0.045 kg/kg of fruit for the Opentop box, using ecoinvent data.</t>
  </si>
  <si>
    <t xml:space="preserve">own calculation based on kg packed citrus (1240 kg) and kg citrus that reach the packhous (personal communication: 1417 kg). It can be considered a fixed value. </t>
  </si>
  <si>
    <t xml:space="preserve">calculated, based on share_fresh and split between processing and biowaste in ecoinvent/mandarin production sorted and graded, ecoinvent. It can be considered a fixed value. </t>
  </si>
  <si>
    <t>diameter of average orange. personal communication from shipments (average)</t>
  </si>
  <si>
    <t xml:space="preserve">https://www.soleilsitrus.co.za/packhouse/#:~:text=The%20size%20of%20the%20packhouse,small%20amount%20of%20easy%20peelers. 
Considering 300 working days a year. </t>
  </si>
  <si>
    <t>Proxy. Calculated from exports of ZA citrus between 2016 and 2020, data from FAOSTAT -&gt; see next excel sheet</t>
  </si>
  <si>
    <t>transport from farm to packaging house, based on personal communication from industry experts (March 2022)</t>
  </si>
  <si>
    <t>Wu et al. (2019) for Supervent</t>
  </si>
  <si>
    <t>Based on data from co-autohrs' visit to the facility</t>
  </si>
  <si>
    <t xml:space="preserve">The seven-eighths cooling time (SECT, t7/8) is the time required to reduce the difference in temperature between fruit and delivery air by seven eighths. </t>
  </si>
  <si>
    <r>
      <t xml:space="preserve">Fraser, H. (2014). Forced-Air Cooling Systems for Fresh Ontario Fruits and Vegetables. </t>
    </r>
    <r>
      <rPr>
        <i/>
        <sz val="10"/>
        <color theme="1"/>
        <rFont val="Segoe UI"/>
        <family val="2"/>
      </rPr>
      <t>Ontario Ministry of Agriculture, Food and Rural Affairs: Toronto, ON, Canada</t>
    </r>
    <r>
      <rPr>
        <sz val="10"/>
        <color theme="1"/>
        <rFont val="Segoe UI"/>
        <family val="2"/>
      </rPr>
      <t>.</t>
    </r>
  </si>
  <si>
    <t>Based on expert communication, SECT is relevant when the fruit needs to be cooled down by more than 10degC. During the precooling the temperature decreases 13°C therefore we need to account for SECT.  We adopted an approximative approach, based on exp curve in Fraser (2014), Figure 5- and considering a cooling time of 24-36h based on data from Daniel --&gt; see here to the right</t>
  </si>
  <si>
    <t>Based on expert communication, SECT is relevant when there is no pre-cooling before shipping therefore the fruit needs to be cooled down by more than 10degC. During the shipment via truck the difference in temperature is &lt;10°C therefore no need to account for SECT; during sea shipment instead there is no cooling, the temperature is kept at 0°C.  Therefore here we set SECT at zero.</t>
  </si>
  <si>
    <t>Distance between Port Elizabeth to Rotterdam --&gt; 6566 nautical miles: 
https://classic.searoutes.com/routing/4294967376/4294967340 and https://sea-distances.org/</t>
  </si>
  <si>
    <t>personal communication from ZA industry experts</t>
  </si>
  <si>
    <t>Based on data from co-autohrs' visit to the facility. Cooling from 12-20°C (average 16°C) to 4°C in 24-36h.
Initial temperature supported by literature: The South African citrus season starts in February with lemons and continues until September when the last oranges are harvested (https://southafrica.co.za/citrus-production.html). We assume that the 'trip' of oranges starts then between September and October. The average T'C in ZA in September and October in the Eastern Cape (area around PE, info here: https://www.selinawamucii.com/produce/fruits-and-vegetables/south-africa-oranges/ --&gt; The Eastern Cape is the biggest production area for this variant i.e. Valencia accounting for 39% of its volume) is between 12 to 22°C [Moderate profile] --&gt; source: https://weather-and-climate.com/averages-South-Africa-October/temperatures. 21C as reported in Wu et al. 2019</t>
  </si>
  <si>
    <t xml:space="preserve">Wu et al. 2019 assume that orange fruit can be stored for approximately 56 d at 4 ºC. We make our own assumption, based on co-authors' experience and communication with experts. </t>
  </si>
  <si>
    <t>As mentioned above, SECT is relevant when there is no pre-cooling before shipping therefore the fruit needs to be cooled down by more than 10degC. Therefore here we set it at zero.</t>
  </si>
  <si>
    <t xml:space="preserve">It depends on the protocols of retailers in different countries. We make our own assumption, based on co-authors' experience and communication with experts. </t>
  </si>
  <si>
    <r>
      <t xml:space="preserve">Porat, R., Lichter, A., Terry, L. A., Harker, R., &amp; Buzby, J. (2018). Postharvest losses of fruit and vegetables during retail and in consumers’ homes: Quantifications, causes, and means of prevention. </t>
    </r>
    <r>
      <rPr>
        <i/>
        <sz val="10"/>
        <color theme="1"/>
        <rFont val="Segoe UI"/>
        <family val="2"/>
      </rPr>
      <t>Postharvest biology and technology</t>
    </r>
    <r>
      <rPr>
        <sz val="10"/>
        <color theme="1"/>
        <rFont val="Segoe UI"/>
        <family val="2"/>
      </rPr>
      <t xml:space="preserve">, </t>
    </r>
    <r>
      <rPr>
        <i/>
        <sz val="10"/>
        <color theme="1"/>
        <rFont val="Segoe UI"/>
        <family val="2"/>
      </rPr>
      <t>139</t>
    </r>
    <r>
      <rPr>
        <sz val="10"/>
        <color theme="1"/>
        <rFont val="Segoe UI"/>
        <family val="2"/>
      </rPr>
      <t>, 135-149.</t>
    </r>
  </si>
  <si>
    <r>
      <t xml:space="preserve">Scholz, K., Eriksson, M., &amp; Strid, I. (2015). Carbon footprint of supermarket food waste. </t>
    </r>
    <r>
      <rPr>
        <i/>
        <sz val="10"/>
        <color theme="1"/>
        <rFont val="Segoe UI"/>
        <family val="2"/>
      </rPr>
      <t>Resources, Conservation and Recycling</t>
    </r>
    <r>
      <rPr>
        <sz val="10"/>
        <color theme="1"/>
        <rFont val="Segoe UI"/>
        <family val="2"/>
      </rPr>
      <t xml:space="preserve">, </t>
    </r>
    <r>
      <rPr>
        <i/>
        <sz val="10"/>
        <color theme="1"/>
        <rFont val="Segoe UI"/>
        <family val="2"/>
      </rPr>
      <t>94</t>
    </r>
    <r>
      <rPr>
        <sz val="10"/>
        <color theme="1"/>
        <rFont val="Segoe UI"/>
        <family val="2"/>
      </rPr>
      <t>, 56-65.</t>
    </r>
  </si>
  <si>
    <t>EEA (2013) EMEP/EEA air pollutant emission inventory guidebook 2013 - Technical guidance to prepare national emission inventories. European Environment
Agency, Luxembourg, EEA Technical report No 12/2013. Available at http://www.eea.europa.eu.</t>
  </si>
  <si>
    <t xml:space="preserve">EC (2021). https://ec.europa.eu/food/system/files/2021-04/fw_lib_stud-rep-pol_ec-know-cen_bioeconomy_2021.pdf) </t>
  </si>
  <si>
    <t>Soleil Sitrus, pack-house info: https://www.soleilsitrus.co.za/packhouse/#:~:text=The%20size%20of%20the%20packhouse,small%20amount%20of%20easy%20peelers . Accessed 2022-2023</t>
  </si>
  <si>
    <r>
      <t xml:space="preserve">Wu, W., Beretta, C., Cronje, P., Hellweg, S., &amp; Defraeye, T. (2019). Environmental trade-offs in fresh-fruit cold chains by combining virtual cold chains with life cycle assessment. </t>
    </r>
    <r>
      <rPr>
        <i/>
        <sz val="10"/>
        <color theme="1"/>
        <rFont val="Segoe UI"/>
        <family val="2"/>
      </rPr>
      <t>Applied Energy</t>
    </r>
    <r>
      <rPr>
        <sz val="10"/>
        <color theme="1"/>
        <rFont val="Segoe UI"/>
        <family val="2"/>
      </rPr>
      <t xml:space="preserve">, </t>
    </r>
    <r>
      <rPr>
        <i/>
        <sz val="10"/>
        <color theme="1"/>
        <rFont val="Segoe UI"/>
        <family val="2"/>
      </rPr>
      <t>254</t>
    </r>
    <r>
      <rPr>
        <sz val="10"/>
        <color theme="1"/>
        <rFont val="Segoe UI"/>
        <family val="2"/>
      </rPr>
      <t>, 113586.</t>
    </r>
  </si>
  <si>
    <r>
      <t xml:space="preserve">Wu, W., Häller, P., Cronjé, P., &amp; Defraeye, T. (2018). Full-scale experiments in forced-air precoolers for citrus fruit: Impact of packaging design and fruit size on cooling rate and heterogeneity. </t>
    </r>
    <r>
      <rPr>
        <i/>
        <sz val="10"/>
        <color theme="1"/>
        <rFont val="Segoe UI"/>
        <family val="2"/>
      </rPr>
      <t>Biosystems Engineering</t>
    </r>
    <r>
      <rPr>
        <sz val="10"/>
        <color theme="1"/>
        <rFont val="Segoe UI"/>
        <family val="2"/>
      </rPr>
      <t xml:space="preserve">, </t>
    </r>
    <r>
      <rPr>
        <i/>
        <sz val="10"/>
        <color theme="1"/>
        <rFont val="Segoe UI"/>
        <family val="2"/>
      </rPr>
      <t>169</t>
    </r>
    <r>
      <rPr>
        <sz val="10"/>
        <color theme="1"/>
        <rFont val="Segoe UI"/>
        <family val="2"/>
      </rPr>
      <t>, 115-125.</t>
    </r>
  </si>
  <si>
    <r>
      <t xml:space="preserve">Ribal, J., Ramírez-Sanz, C., Estruch, V., Clemente, G., &amp; Sanjuán, N. (2017). Organic versus conventional citrus. Impact assessment and variability analysis in the Comunitat Valenciana (Spain). </t>
    </r>
    <r>
      <rPr>
        <i/>
        <sz val="10"/>
        <color theme="1"/>
        <rFont val="Segoe UI"/>
        <family val="2"/>
      </rPr>
      <t>The International Journal of Life Cycle Assessment</t>
    </r>
    <r>
      <rPr>
        <sz val="10"/>
        <color theme="1"/>
        <rFont val="Segoe UI"/>
        <family val="2"/>
      </rPr>
      <t xml:space="preserve">, </t>
    </r>
    <r>
      <rPr>
        <i/>
        <sz val="10"/>
        <color theme="1"/>
        <rFont val="Segoe UI"/>
        <family val="2"/>
      </rPr>
      <t>22</t>
    </r>
    <r>
      <rPr>
        <sz val="10"/>
        <color theme="1"/>
        <rFont val="Segoe UI"/>
        <family val="2"/>
      </rPr>
      <t>, 571-586.</t>
    </r>
  </si>
  <si>
    <r>
      <t xml:space="preserve">Stoessel, F., Juraske, R., Pfister, S., &amp; Hellweg, S. (2012). Life cycle inventory and carbon and water foodprint of fruits and vegetables: application to a Swiss retailer. </t>
    </r>
    <r>
      <rPr>
        <i/>
        <sz val="10"/>
        <color theme="1"/>
        <rFont val="Segoe UI"/>
        <family val="2"/>
      </rPr>
      <t>Environmental science &amp; technology</t>
    </r>
    <r>
      <rPr>
        <sz val="10"/>
        <color theme="1"/>
        <rFont val="Segoe UI"/>
        <family val="2"/>
      </rPr>
      <t xml:space="preserve">, </t>
    </r>
    <r>
      <rPr>
        <i/>
        <sz val="10"/>
        <color theme="1"/>
        <rFont val="Segoe UI"/>
        <family val="2"/>
      </rPr>
      <t>46</t>
    </r>
    <r>
      <rPr>
        <sz val="10"/>
        <color theme="1"/>
        <rFont val="Segoe UI"/>
        <family val="2"/>
      </rPr>
      <t>(6), 3253-3262.</t>
    </r>
  </si>
  <si>
    <t xml:space="preserve">Food loss, means thrown away. </t>
  </si>
  <si>
    <t>Proxies: Min based on Parat et al. 2018 for UK; max based on Scholz et al. 2015 for Sweden.</t>
  </si>
  <si>
    <t>Based on EC-JRC BoP Food report, see Castellani et al. (2017)</t>
  </si>
  <si>
    <t>We consider that the consumer goes grocery shopping (only food) and oranges represent 3% of the entire basket of food products ; Based on EC-JRC BoP Food report, see Castellani et al. (2017), page 13/116</t>
  </si>
  <si>
    <t>de Cassia Vieira Cardoso, R., Vasconcelos Luckesi, M., Lordelo Guimarães Tavares, P.P., and da Costa Souza, A.L. (2021). Chapter 1 - Fruit and vegetable waste at domiciliary level: what is the panorama? Food Losses, Sustainable Postharvest and Food Technologies (pp. 1-32). Academic Press.</t>
  </si>
  <si>
    <t>% on fruits are applied to citrus only due to lack of info. Specifically, 12% fruit wasted at household in The Netherlands (see de Cassia Vieira Cardoso et al. 2021); of these 54% biowaste, the rest is assumed to go to landfil (this is directly from Van Doren et al. 2019 retrieved from the previously mentioned publication of 2021)</t>
  </si>
  <si>
    <r>
      <t xml:space="preserve">Van Dooren, C., Janmaat, O., Snoek, J., &amp; Schrijnen, M. (2019). Measuring food waste in Dutch households: A synthesis of three studies. </t>
    </r>
    <r>
      <rPr>
        <i/>
        <sz val="10"/>
        <color theme="1"/>
        <rFont val="Segoe UI"/>
        <family val="2"/>
      </rPr>
      <t>Waste management</t>
    </r>
    <r>
      <rPr>
        <sz val="10"/>
        <color theme="1"/>
        <rFont val="Segoe UI"/>
        <family val="2"/>
      </rPr>
      <t xml:space="preserve">, </t>
    </r>
    <r>
      <rPr>
        <i/>
        <sz val="10"/>
        <color theme="1"/>
        <rFont val="Segoe UI"/>
        <family val="2"/>
      </rPr>
      <t>94</t>
    </r>
    <r>
      <rPr>
        <sz val="10"/>
        <color theme="1"/>
        <rFont val="Segoe UI"/>
        <family val="2"/>
      </rPr>
      <t>, 153-164.</t>
    </r>
  </si>
  <si>
    <t>by car, one way trip</t>
  </si>
  <si>
    <t>3. pre-cooling --&gt; cooling from Ta to 4degC and mantaining 4deg after SECT is reached</t>
  </si>
  <si>
    <t xml:space="preserve">Source: </t>
  </si>
  <si>
    <t xml:space="preserve">Procedure: </t>
  </si>
  <si>
    <t>Divide LCIA midpoint results by NF, then multiply by WF</t>
  </si>
  <si>
    <t>Total LCA result per 1 kg consumed citrus</t>
  </si>
  <si>
    <t>Normalized results</t>
  </si>
  <si>
    <t xml:space="preserve">Weighted results </t>
  </si>
  <si>
    <t xml:space="preserve">% </t>
  </si>
  <si>
    <t>LCIA results_weighting</t>
  </si>
  <si>
    <t>Overview of environmental impacts of 1 kg consumed citrus</t>
  </si>
  <si>
    <t xml:space="preserve">List of main references consulted for building the LCI., as additional references to which reported in the manuscript. </t>
  </si>
  <si>
    <t>FAOSTAT_data_exports</t>
  </si>
  <si>
    <t>data on exports in 2016-2020 to estimate share for packhouse infrastructure</t>
  </si>
  <si>
    <t>4. to port &amp; overseas transport</t>
  </si>
  <si>
    <t>7. consumption</t>
  </si>
  <si>
    <t>transport from pre-cooling site to ship for overseas shipment</t>
  </si>
  <si>
    <t>4. to port and overseas transport (cooling from 8 to 4 degC + mantaining T at 4degC)</t>
  </si>
  <si>
    <t>4_Overseas transport</t>
  </si>
  <si>
    <t>3_Pre-cooling</t>
  </si>
  <si>
    <t>2_Packaging &amp; Palletization</t>
  </si>
  <si>
    <t xml:space="preserve">Pre-harvest </t>
  </si>
  <si>
    <t>check sum = column F</t>
  </si>
  <si>
    <t>1_Cultivation</t>
  </si>
  <si>
    <t>5_Storage</t>
  </si>
  <si>
    <t>6_Retail</t>
  </si>
  <si>
    <t>7_Consumption</t>
  </si>
  <si>
    <t>Cultivation (ZA)</t>
  </si>
  <si>
    <t>Pre-cooling (ZA)</t>
  </si>
  <si>
    <t>Overseas transport (ZA)</t>
  </si>
  <si>
    <t>Retail (NL)</t>
  </si>
  <si>
    <t>Consumer (NL)</t>
  </si>
  <si>
    <t>This represents a byproduct with economical value in another supply chain, therefore not included in the analysis as output. In this study, this amount does not carry any environmental burden. The value is reported herein for completeness.</t>
  </si>
  <si>
    <t xml:space="preserve">Compost confirmed also in Chavan et al. 2018 (https://doi.org/10.1111/jfpe.12895). Included in the study as output/ waste associated to the packaging step. </t>
  </si>
  <si>
    <t>The overall input of citrus at the factory is 1.130 kg; since a mass allocation is performed between the citrus for export and the citrus for other purposes (i.e. local market and juice factory), the input here represents the amount needed to get 1 kg citrus for export + compost as waste from the factory.</t>
  </si>
  <si>
    <t xml:space="preserve">1 kg 07 citrus home consumption (NL) </t>
  </si>
  <si>
    <t>Environmental Footprint (EF) 3.1 no LT</t>
  </si>
  <si>
    <t xml:space="preserve">https://eplca.jrc.ec.europa.eu/EFtransition.html </t>
  </si>
  <si>
    <t>Contribution 1+2+4</t>
  </si>
  <si>
    <t>Overall impact</t>
  </si>
  <si>
    <t>Step1_Cultivation</t>
  </si>
  <si>
    <t>Step2_Packaging &amp; Palletization</t>
  </si>
  <si>
    <t>Step3_Pre-cooling</t>
  </si>
  <si>
    <t>Step4_Overseas transport</t>
  </si>
  <si>
    <t>Step5_Storage</t>
  </si>
  <si>
    <t>Packaging &amp; Palletization (ZA)</t>
  </si>
  <si>
    <t>Storage (NL)</t>
  </si>
  <si>
    <t>Step6_Retail</t>
  </si>
  <si>
    <t>Step7_Consumption</t>
  </si>
  <si>
    <t>Abbrev.</t>
  </si>
  <si>
    <t>check overall impact</t>
  </si>
  <si>
    <t>irrigation</t>
  </si>
  <si>
    <t xml:space="preserve">fertilizers </t>
  </si>
  <si>
    <t>PPP</t>
  </si>
  <si>
    <t>Cut off: 0.01; Calculation depth: 800</t>
  </si>
  <si>
    <t>transport passenger by car</t>
  </si>
  <si>
    <t>(Pre-harvest)</t>
  </si>
  <si>
    <t>Score per 1 kg citrus sold and consumed in NL</t>
  </si>
  <si>
    <t>Scores per 1.28 kg citrus cultivated in ZA in order to be able to sell and consume 1 kg citrus in NL at the end of the value chain</t>
  </si>
  <si>
    <t>sum check. Threshold 70%</t>
  </si>
  <si>
    <t>Highlighted values &gt; 75%</t>
  </si>
  <si>
    <t>LCIA results</t>
  </si>
  <si>
    <t>Pre-harvest_contributions</t>
  </si>
  <si>
    <t>Post-harvest contributions</t>
  </si>
  <si>
    <t>All parameters needed to build the equations used in the LCI (orange sheets)</t>
  </si>
  <si>
    <t>transport by lorry to port with cooling system</t>
  </si>
  <si>
    <t>electricity use at pre-cooling facility</t>
  </si>
  <si>
    <t>electricity use at packaging house</t>
  </si>
  <si>
    <t>Overseas transport by ship, including cooling system</t>
  </si>
  <si>
    <t>pallet at packaging house, production</t>
  </si>
  <si>
    <t>cardboard box at packaging house,  production</t>
  </si>
  <si>
    <t>building hall, storage</t>
  </si>
  <si>
    <t>building hall, pre-cooling facility</t>
  </si>
  <si>
    <t>Overview of the contribution of (aggregated) processes to the environmental impacts in the post-harvest stages (2 to 7)</t>
  </si>
  <si>
    <t>Overview of the contribution of (aggregated) processes to the environmental impacts at cultivation stage (1)</t>
  </si>
  <si>
    <t>LCI per 1 kg reference product for each stage of the citrus value chain. Comments to the sources of data and calculations are included. 
Database: ecoinvent v.3.9.1
System: Cut-off U</t>
  </si>
  <si>
    <t>market for electricity, low voltage (ZA)</t>
  </si>
  <si>
    <t>orange production, fresh grade (ZA)</t>
  </si>
  <si>
    <t>market for tap water (ZA)</t>
  </si>
  <si>
    <t>market for paraffin (GLO)</t>
  </si>
  <si>
    <t>market for corrugated board box (RoW)</t>
  </si>
  <si>
    <t>market for EUR-flat pallet (RoW)</t>
  </si>
  <si>
    <t>market for building, hall (GLO)</t>
  </si>
  <si>
    <t>market for conveyor belt (GLO)</t>
  </si>
  <si>
    <t>market for transport, freight, lorry &gt;32 metric ton, EURO4 (RoW)</t>
  </si>
  <si>
    <t>market for wastewater, average (RoW)</t>
  </si>
  <si>
    <t>market for compost (GLO)</t>
  </si>
  <si>
    <t>market for diesel, burned in diesel-electric generating set, 18.5kW (GLO)</t>
  </si>
  <si>
    <t>market for transport, freight, sea, container ship (GLO)</t>
  </si>
  <si>
    <t>market for transport, freight, lorry with reefer, cooling (GLO)</t>
  </si>
  <si>
    <t>market for electricity, low voltage (NL)</t>
  </si>
  <si>
    <t>market for transport, freight, lorry &gt;32 metric ton, EURO5 (RER)</t>
  </si>
  <si>
    <t>market for waste paperboard (NL)</t>
  </si>
  <si>
    <t>market for biowaste (RoW)</t>
  </si>
  <si>
    <t>market for transport, passenger car with internal combustion engine (RER)</t>
  </si>
  <si>
    <t>market for municipal solid waste (NL)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</si>
</sst>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00"/>
    <numFmt numFmtId="165" formatCode="0.000"/>
    <numFmt numFmtId="166" formatCode="0.0%"/>
    <numFmt numFmtId="167" formatCode="0.00000"/>
    <numFmt numFmtId="168" formatCode="0.0E+00"/>
    <numFmt numFmtId="169" formatCode="_-* #,##0.00_-;\-* #,##0.00_-;_-* &quot;-&quot;??_-;_-@_-"/>
  </numFmts>
  <fonts count="47" x14ac:knownFonts="1">
    <font>
      <sz val="10"/>
      <color theme="1"/>
      <name val="Segoe UI"/>
      <family val="2"/>
    </font>
    <font>
      <sz val="11"/>
      <color theme="1"/>
      <name val="Calibri"/>
      <family val="2"/>
      <scheme val="minor"/>
    </font>
    <font>
      <b/>
      <sz val="10"/>
      <color theme="1"/>
      <name val="Segoe UI"/>
      <family val="2"/>
    </font>
    <font>
      <sz val="11"/>
      <name val="Segoe UI"/>
      <family val="2"/>
    </font>
    <font>
      <sz val="11"/>
      <color theme="1"/>
      <name val="Segoe UI"/>
      <family val="2"/>
    </font>
    <font>
      <sz val="10"/>
      <color rgb="FFFA7D00"/>
      <name val="Segoe UI"/>
      <family val="2"/>
    </font>
    <font>
      <sz val="10"/>
      <color rgb="FFFF0000"/>
      <name val="Segoe UI"/>
      <family val="2"/>
    </font>
    <font>
      <sz val="10"/>
      <color theme="0" tint="-0.499984740745262"/>
      <name val="Segoe UI"/>
      <family val="2"/>
    </font>
    <font>
      <sz val="10"/>
      <name val="Segoe UI"/>
      <family val="2"/>
    </font>
    <font>
      <sz val="12"/>
      <color rgb="FF000000"/>
      <name val="Calibri"/>
      <family val="2"/>
    </font>
    <font>
      <u/>
      <sz val="10"/>
      <color theme="10"/>
      <name val="Segoe UI"/>
      <family val="2"/>
    </font>
    <font>
      <sz val="12"/>
      <color indexed="0"/>
      <name val="Arial"/>
      <family val="2"/>
    </font>
    <font>
      <sz val="10"/>
      <color rgb="FF000000"/>
      <name val="Calibri"/>
      <family val="2"/>
    </font>
    <font>
      <sz val="12"/>
      <color indexed="0"/>
      <name val="Arial"/>
      <family val="2"/>
    </font>
    <font>
      <sz val="11"/>
      <color theme="1"/>
      <name val="Calibri"/>
      <family val="2"/>
      <scheme val="minor"/>
    </font>
    <font>
      <sz val="11"/>
      <color rgb="FFFF0000"/>
      <name val="Calibri"/>
      <family val="2"/>
      <scheme val="minor"/>
    </font>
    <font>
      <b/>
      <sz val="10"/>
      <color rgb="FFFA7D00"/>
      <name val="Segoe UI"/>
      <family val="2"/>
    </font>
    <font>
      <sz val="10"/>
      <color theme="1"/>
      <name val="Segoe UI"/>
      <family val="2"/>
    </font>
    <font>
      <sz val="10"/>
      <color theme="0" tint="-0.34998626667073579"/>
      <name val="Segoe UI"/>
      <family val="2"/>
    </font>
    <font>
      <b/>
      <sz val="12"/>
      <color theme="1"/>
      <name val="Segoe UI"/>
      <family val="2"/>
    </font>
    <font>
      <b/>
      <sz val="11"/>
      <color theme="1"/>
      <name val="Calibri"/>
      <family val="2"/>
      <scheme val="minor"/>
    </font>
    <font>
      <u/>
      <sz val="11"/>
      <color theme="10"/>
      <name val="Calibri"/>
      <family val="2"/>
      <scheme val="minor"/>
    </font>
    <font>
      <sz val="9"/>
      <color indexed="81"/>
      <name val="Tahoma"/>
      <family val="2"/>
    </font>
    <font>
      <b/>
      <sz val="9"/>
      <color indexed="81"/>
      <name val="Tahoma"/>
      <family val="2"/>
    </font>
    <font>
      <sz val="10"/>
      <color theme="5"/>
      <name val="Segoe UI"/>
      <family val="2"/>
    </font>
    <font>
      <b/>
      <sz val="10"/>
      <color theme="0" tint="-0.34998626667073579"/>
      <name val="Segoe UI"/>
      <family val="2"/>
    </font>
    <font>
      <i/>
      <sz val="10"/>
      <color theme="1"/>
      <name val="Segoe UI"/>
      <family val="2"/>
    </font>
    <font>
      <b/>
      <sz val="10"/>
      <name val="Segoe UI"/>
      <family val="2"/>
    </font>
    <font>
      <b/>
      <sz val="10"/>
      <color theme="0" tint="-0.499984740745262"/>
      <name val="Segoe UI"/>
      <family val="2"/>
    </font>
    <font>
      <sz val="8"/>
      <name val="Segoe UI"/>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1"/>
      <color rgb="FF9C6500"/>
      <name val="Calibri"/>
      <family val="2"/>
      <scheme val="minor"/>
    </font>
    <font>
      <b/>
      <sz val="11"/>
      <color rgb="FFFA7D00"/>
      <name val="Calibri"/>
      <family val="2"/>
      <scheme val="minor"/>
    </font>
    <font>
      <sz val="11"/>
      <color rgb="FFFA7D00"/>
      <name val="Calibri"/>
      <family val="2"/>
      <scheme val="minor"/>
    </font>
    <font>
      <sz val="11"/>
      <color rgb="FF000000"/>
      <name val="Calibri"/>
      <family val="2"/>
      <scheme val="minor"/>
    </font>
    <font>
      <b/>
      <sz val="10"/>
      <color rgb="FF000000"/>
      <name val="Segoe UI"/>
      <family val="2"/>
    </font>
    <font>
      <sz val="10"/>
      <color theme="0" tint="-0.249977111117893"/>
      <name val="Segoe UI"/>
      <family val="2"/>
    </font>
  </fonts>
  <fills count="44">
    <fill>
      <patternFill patternType="none"/>
    </fill>
    <fill>
      <patternFill patternType="gray125"/>
    </fill>
    <fill>
      <patternFill patternType="solid">
        <fgColor theme="4" tint="0.79998168889431442"/>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rgb="FFF2F2F2"/>
      </patternFill>
    </fill>
    <fill>
      <patternFill patternType="solid">
        <fgColor theme="5"/>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4" tint="0.59999389629810485"/>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5050"/>
        <bgColor indexed="64"/>
      </patternFill>
    </fill>
    <fill>
      <patternFill patternType="solid">
        <fgColor rgb="FFFF9966"/>
        <bgColor indexed="64"/>
      </patternFill>
    </fill>
    <fill>
      <patternFill patternType="solid">
        <fgColor theme="7" tint="0.39997558519241921"/>
        <bgColor indexed="64"/>
      </patternFill>
    </fill>
    <fill>
      <patternFill patternType="solid">
        <fgColor rgb="FFFF6161"/>
        <bgColor indexed="64"/>
      </patternFill>
    </fill>
  </fills>
  <borders count="28">
    <border>
      <left/>
      <right/>
      <top/>
      <bottom/>
      <diagonal/>
    </border>
    <border>
      <left/>
      <right/>
      <top/>
      <bottom style="double">
        <color rgb="FFFF8001"/>
      </bottom>
      <diagonal/>
    </border>
    <border>
      <left style="medium">
        <color indexed="64"/>
      </left>
      <right style="medium">
        <color indexed="64"/>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left>
      <right style="thin">
        <color theme="0"/>
      </right>
      <top style="thin">
        <color theme="0"/>
      </top>
      <bottom style="thin">
        <color theme="0"/>
      </bottom>
      <diagonal/>
    </border>
    <border>
      <left style="thin">
        <color theme="0" tint="-0.14996795556505021"/>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bottom style="medium">
        <color indexed="64"/>
      </bottom>
      <diagonal/>
    </border>
    <border>
      <left style="medium">
        <color indexed="64"/>
      </left>
      <right/>
      <top/>
      <bottom/>
      <diagonal/>
    </border>
  </borders>
  <cellStyleXfs count="56">
    <xf numFmtId="0" fontId="0" fillId="0" borderId="0"/>
    <xf numFmtId="0" fontId="5" fillId="0" borderId="1" applyNumberFormat="0" applyFill="0" applyAlignment="0" applyProtection="0"/>
    <xf numFmtId="0" fontId="10" fillId="0" borderId="0" applyNumberFormat="0" applyFill="0" applyBorder="0" applyAlignment="0" applyProtection="0"/>
    <xf numFmtId="0" fontId="11" fillId="0" borderId="0">
      <alignment vertical="top"/>
      <protection locked="0"/>
    </xf>
    <xf numFmtId="0" fontId="13" fillId="0" borderId="0">
      <alignment vertical="top"/>
      <protection locked="0"/>
    </xf>
    <xf numFmtId="0" fontId="14" fillId="0" borderId="0"/>
    <xf numFmtId="0" fontId="16" fillId="5" borderId="3" applyNumberFormat="0" applyAlignment="0" applyProtection="0"/>
    <xf numFmtId="9" fontId="17" fillId="0" borderId="0" applyFont="0" applyFill="0" applyBorder="0" applyAlignment="0" applyProtection="0"/>
    <xf numFmtId="0" fontId="21" fillId="0" borderId="0" applyNumberFormat="0" applyFill="0" applyBorder="0" applyAlignment="0" applyProtection="0"/>
    <xf numFmtId="9" fontId="14" fillId="0" borderId="0" applyFont="0" applyFill="0" applyBorder="0" applyAlignment="0" applyProtection="0"/>
    <xf numFmtId="0" fontId="30" fillId="0" borderId="0" applyNumberFormat="0" applyFill="0" applyBorder="0" applyAlignment="0" applyProtection="0"/>
    <xf numFmtId="0" fontId="31" fillId="0" borderId="19" applyNumberFormat="0" applyFill="0" applyAlignment="0" applyProtection="0"/>
    <xf numFmtId="0" fontId="32" fillId="0" borderId="20" applyNumberFormat="0" applyFill="0" applyAlignment="0" applyProtection="0"/>
    <xf numFmtId="0" fontId="33" fillId="0" borderId="21" applyNumberFormat="0" applyFill="0" applyAlignment="0" applyProtection="0"/>
    <xf numFmtId="0" fontId="33" fillId="0" borderId="0" applyNumberFormat="0" applyFill="0" applyBorder="0" applyAlignment="0" applyProtection="0"/>
    <xf numFmtId="0" fontId="34" fillId="10" borderId="0" applyNumberFormat="0" applyBorder="0" applyAlignment="0" applyProtection="0"/>
    <xf numFmtId="0" fontId="35" fillId="11" borderId="0" applyNumberFormat="0" applyBorder="0" applyAlignment="0" applyProtection="0"/>
    <xf numFmtId="0" fontId="36" fillId="13" borderId="3" applyNumberFormat="0" applyAlignment="0" applyProtection="0"/>
    <xf numFmtId="0" fontId="37" fillId="5" borderId="22" applyNumberFormat="0" applyAlignment="0" applyProtection="0"/>
    <xf numFmtId="0" fontId="38" fillId="14" borderId="23" applyNumberFormat="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20" fillId="0" borderId="25" applyNumberFormat="0" applyFill="0" applyAlignment="0" applyProtection="0"/>
    <xf numFmtId="0" fontId="40"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40"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40"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40"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40"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40"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0" fontId="41" fillId="12" borderId="0" applyNumberFormat="0" applyBorder="0" applyAlignment="0" applyProtection="0"/>
    <xf numFmtId="0" fontId="42" fillId="5" borderId="3" applyNumberFormat="0" applyAlignment="0" applyProtection="0"/>
    <xf numFmtId="0" fontId="43" fillId="0" borderId="1" applyNumberFormat="0" applyFill="0" applyAlignment="0" applyProtection="0"/>
    <xf numFmtId="0" fontId="1" fillId="15" borderId="24" applyNumberFormat="0" applyFont="0" applyAlignment="0" applyProtection="0"/>
    <xf numFmtId="0" fontId="40" fillId="19" borderId="0" applyNumberFormat="0" applyBorder="0" applyAlignment="0" applyProtection="0"/>
    <xf numFmtId="0" fontId="40" fillId="23" borderId="0" applyNumberFormat="0" applyBorder="0" applyAlignment="0" applyProtection="0"/>
    <xf numFmtId="0" fontId="40" fillId="27" borderId="0" applyNumberFormat="0" applyBorder="0" applyAlignment="0" applyProtection="0"/>
    <xf numFmtId="0" fontId="40" fillId="31" borderId="0" applyNumberFormat="0" applyBorder="0" applyAlignment="0" applyProtection="0"/>
    <xf numFmtId="0" fontId="40" fillId="35" borderId="0" applyNumberFormat="0" applyBorder="0" applyAlignment="0" applyProtection="0"/>
    <xf numFmtId="0" fontId="40" fillId="39" borderId="0" applyNumberFormat="0" applyBorder="0" applyAlignment="0" applyProtection="0"/>
    <xf numFmtId="0" fontId="44" fillId="0" borderId="0"/>
    <xf numFmtId="9" fontId="1" fillId="0" borderId="0" applyFont="0" applyFill="0" applyBorder="0" applyAlignment="0" applyProtection="0"/>
    <xf numFmtId="169" fontId="1" fillId="0" borderId="0" applyFont="0" applyFill="0" applyBorder="0" applyAlignment="0" applyProtection="0"/>
    <xf numFmtId="0" fontId="1" fillId="0" borderId="0"/>
  </cellStyleXfs>
  <cellXfs count="170">
    <xf numFmtId="0" fontId="0" fillId="0" borderId="0" xfId="0"/>
    <xf numFmtId="0" fontId="2" fillId="0" borderId="0" xfId="0" applyFont="1"/>
    <xf numFmtId="0" fontId="7" fillId="0" borderId="0" xfId="0" applyFont="1"/>
    <xf numFmtId="0" fontId="8" fillId="0" borderId="0" xfId="0" applyFont="1" applyAlignment="1">
      <alignment horizontal="left" vertical="center"/>
    </xf>
    <xf numFmtId="0" fontId="0" fillId="0" borderId="0" xfId="0" applyAlignment="1">
      <alignment vertical="center"/>
    </xf>
    <xf numFmtId="0" fontId="8" fillId="0" borderId="0" xfId="0" applyFont="1" applyAlignment="1">
      <alignment horizontal="left" vertical="center" wrapText="1"/>
    </xf>
    <xf numFmtId="0" fontId="6" fillId="0" borderId="0" xfId="0" applyFont="1" applyAlignment="1">
      <alignment horizontal="left" vertical="center" wrapText="1"/>
    </xf>
    <xf numFmtId="0" fontId="6" fillId="0" borderId="0" xfId="0" applyFont="1" applyAlignment="1">
      <alignment horizontal="left" vertical="center"/>
    </xf>
    <xf numFmtId="0" fontId="0" fillId="0" borderId="0" xfId="0" applyAlignment="1">
      <alignment wrapText="1"/>
    </xf>
    <xf numFmtId="0" fontId="0" fillId="0" borderId="0" xfId="0" applyAlignment="1">
      <alignment vertical="center" wrapText="1"/>
    </xf>
    <xf numFmtId="0" fontId="9" fillId="0" borderId="0" xfId="0" applyFont="1" applyAlignment="1">
      <alignment horizontal="left" vertical="center" wrapText="1" readingOrder="1"/>
    </xf>
    <xf numFmtId="0" fontId="3" fillId="0" borderId="0" xfId="0" applyFont="1" applyAlignment="1">
      <alignment horizontal="left" vertical="center" wrapText="1" readingOrder="1"/>
    </xf>
    <xf numFmtId="0" fontId="4" fillId="0" borderId="0" xfId="0" applyFont="1" applyAlignment="1">
      <alignment vertical="center" wrapText="1"/>
    </xf>
    <xf numFmtId="0" fontId="6" fillId="0" borderId="0" xfId="0" applyFont="1" applyAlignment="1">
      <alignment vertical="center"/>
    </xf>
    <xf numFmtId="0" fontId="8" fillId="0" borderId="0" xfId="0" applyFont="1" applyAlignment="1">
      <alignment vertical="center"/>
    </xf>
    <xf numFmtId="0" fontId="11" fillId="0" borderId="0" xfId="3" applyAlignment="1" applyProtection="1"/>
    <xf numFmtId="0" fontId="8" fillId="0" borderId="0" xfId="0" applyFont="1" applyAlignment="1">
      <alignment vertical="center" wrapText="1"/>
    </xf>
    <xf numFmtId="0" fontId="0" fillId="0" borderId="0" xfId="0" quotePrefix="1" applyAlignment="1">
      <alignment vertical="center"/>
    </xf>
    <xf numFmtId="0" fontId="0" fillId="0" borderId="0" xfId="0" applyAlignment="1">
      <alignment horizontal="left" vertical="center" wrapText="1"/>
    </xf>
    <xf numFmtId="0" fontId="12" fillId="0" borderId="0" xfId="0" applyFont="1" applyAlignment="1">
      <alignment horizontal="left" vertical="center" wrapText="1"/>
    </xf>
    <xf numFmtId="0" fontId="2" fillId="0" borderId="0" xfId="0" applyFont="1" applyAlignment="1">
      <alignment horizontal="center" vertical="center" wrapText="1"/>
    </xf>
    <xf numFmtId="0" fontId="0" fillId="0" borderId="0" xfId="0" applyAlignment="1">
      <alignment horizontal="center" vertical="center"/>
    </xf>
    <xf numFmtId="11" fontId="0" fillId="0" borderId="0" xfId="0" applyNumberFormat="1"/>
    <xf numFmtId="0" fontId="18" fillId="0" borderId="0" xfId="0" applyFont="1"/>
    <xf numFmtId="165" fontId="18" fillId="0" borderId="0" xfId="0" applyNumberFormat="1" applyFont="1"/>
    <xf numFmtId="0" fontId="18" fillId="0" borderId="0" xfId="0" applyFont="1" applyAlignment="1">
      <alignment vertical="center" wrapText="1"/>
    </xf>
    <xf numFmtId="166" fontId="0" fillId="0" borderId="0" xfId="7" applyNumberFormat="1" applyFont="1" applyAlignment="1">
      <alignment vertical="center" wrapText="1"/>
    </xf>
    <xf numFmtId="0" fontId="0" fillId="0" borderId="0" xfId="0" applyAlignment="1">
      <alignment horizontal="center"/>
    </xf>
    <xf numFmtId="0" fontId="18" fillId="0" borderId="0" xfId="0" applyFont="1" applyAlignment="1">
      <alignment horizontal="center"/>
    </xf>
    <xf numFmtId="9" fontId="0" fillId="0" borderId="0" xfId="0" applyNumberFormat="1" applyAlignment="1">
      <alignment horizontal="center"/>
    </xf>
    <xf numFmtId="0" fontId="2" fillId="0" borderId="0" xfId="0" applyFont="1" applyAlignment="1">
      <alignment horizontal="center" vertical="center"/>
    </xf>
    <xf numFmtId="0" fontId="18" fillId="0" borderId="0" xfId="0" applyFont="1" applyAlignment="1">
      <alignment horizontal="center" vertical="center"/>
    </xf>
    <xf numFmtId="11" fontId="0" fillId="0" borderId="0" xfId="0" applyNumberFormat="1" applyAlignment="1">
      <alignment horizontal="center"/>
    </xf>
    <xf numFmtId="11" fontId="0" fillId="0" borderId="0" xfId="0" applyNumberFormat="1" applyAlignment="1">
      <alignment horizontal="center" vertical="center"/>
    </xf>
    <xf numFmtId="11" fontId="16" fillId="5" borderId="3" xfId="6" applyNumberFormat="1"/>
    <xf numFmtId="9" fontId="0" fillId="0" borderId="0" xfId="0" applyNumberFormat="1" applyAlignment="1">
      <alignment horizontal="center" vertical="center"/>
    </xf>
    <xf numFmtId="4" fontId="0" fillId="0" borderId="0" xfId="0" applyNumberFormat="1"/>
    <xf numFmtId="0" fontId="0" fillId="0" borderId="0" xfId="0" applyAlignment="1">
      <alignment horizontal="left" wrapText="1"/>
    </xf>
    <xf numFmtId="0" fontId="0" fillId="0" borderId="0" xfId="0" applyAlignment="1">
      <alignment horizontal="left"/>
    </xf>
    <xf numFmtId="0" fontId="0" fillId="0" borderId="0" xfId="0" applyAlignment="1">
      <alignment horizontal="left" vertical="center"/>
    </xf>
    <xf numFmtId="0" fontId="16" fillId="5" borderId="3" xfId="6" applyAlignment="1">
      <alignment vertical="center"/>
    </xf>
    <xf numFmtId="0" fontId="0" fillId="6" borderId="4" xfId="0" applyFill="1" applyBorder="1"/>
    <xf numFmtId="0" fontId="19" fillId="0" borderId="0" xfId="0" applyFont="1"/>
    <xf numFmtId="0" fontId="0" fillId="4" borderId="5" xfId="0" applyFill="1" applyBorder="1"/>
    <xf numFmtId="9" fontId="0" fillId="0" borderId="0" xfId="7" applyFont="1" applyFill="1" applyAlignment="1">
      <alignment vertical="center"/>
    </xf>
    <xf numFmtId="9" fontId="0" fillId="0" borderId="0" xfId="7" applyFont="1" applyAlignment="1">
      <alignment horizontal="center" vertical="center"/>
    </xf>
    <xf numFmtId="165" fontId="0" fillId="0" borderId="0" xfId="0" applyNumberFormat="1" applyAlignment="1">
      <alignment vertical="center"/>
    </xf>
    <xf numFmtId="0" fontId="0" fillId="0" borderId="7" xfId="0" applyBorder="1"/>
    <xf numFmtId="9" fontId="0" fillId="0" borderId="0" xfId="7" applyFont="1" applyBorder="1"/>
    <xf numFmtId="9" fontId="0" fillId="0" borderId="7" xfId="7" applyFont="1" applyBorder="1"/>
    <xf numFmtId="0" fontId="0" fillId="3" borderId="0" xfId="0" applyFill="1"/>
    <xf numFmtId="9" fontId="0" fillId="3" borderId="0" xfId="7" applyFont="1" applyFill="1" applyBorder="1"/>
    <xf numFmtId="9" fontId="0" fillId="0" borderId="0" xfId="0" applyNumberFormat="1"/>
    <xf numFmtId="164" fontId="16" fillId="5" borderId="3" xfId="6" applyNumberFormat="1" applyAlignment="1">
      <alignment vertical="center"/>
    </xf>
    <xf numFmtId="11" fontId="16" fillId="5" borderId="3" xfId="6" applyNumberFormat="1" applyAlignment="1">
      <alignment vertical="center"/>
    </xf>
    <xf numFmtId="165" fontId="16" fillId="5" borderId="3" xfId="6" applyNumberFormat="1" applyAlignment="1">
      <alignment vertical="center"/>
    </xf>
    <xf numFmtId="167" fontId="16" fillId="5" borderId="3" xfId="6" applyNumberFormat="1" applyAlignment="1">
      <alignment vertical="center"/>
    </xf>
    <xf numFmtId="168" fontId="16" fillId="5" borderId="3" xfId="6" applyNumberFormat="1" applyAlignment="1">
      <alignment vertical="center"/>
    </xf>
    <xf numFmtId="165" fontId="16" fillId="5" borderId="3" xfId="6" applyNumberFormat="1" applyAlignment="1">
      <alignment vertical="center" wrapText="1"/>
    </xf>
    <xf numFmtId="0" fontId="16" fillId="5" borderId="3" xfId="6" applyAlignment="1">
      <alignment vertical="center" wrapText="1"/>
    </xf>
    <xf numFmtId="0" fontId="8" fillId="0" borderId="0" xfId="0" applyFont="1" applyAlignment="1">
      <alignment horizontal="center" vertical="center"/>
    </xf>
    <xf numFmtId="0" fontId="8" fillId="0" borderId="0" xfId="0" applyFont="1"/>
    <xf numFmtId="0" fontId="10" fillId="0" borderId="0" xfId="2" applyAlignment="1">
      <alignment wrapText="1"/>
    </xf>
    <xf numFmtId="0" fontId="24" fillId="0" borderId="0" xfId="0" applyFont="1"/>
    <xf numFmtId="164" fontId="16" fillId="5" borderId="3" xfId="6" applyNumberFormat="1" applyAlignment="1">
      <alignment vertical="center" wrapText="1"/>
    </xf>
    <xf numFmtId="0" fontId="0" fillId="0" borderId="0" xfId="0" quotePrefix="1" applyAlignment="1">
      <alignment vertical="center" wrapText="1"/>
    </xf>
    <xf numFmtId="165" fontId="16" fillId="5" borderId="3" xfId="6" applyNumberFormat="1" applyAlignment="1">
      <alignment wrapText="1"/>
    </xf>
    <xf numFmtId="0" fontId="2" fillId="0" borderId="2" xfId="0" applyFont="1" applyBorder="1"/>
    <xf numFmtId="0" fontId="2" fillId="0" borderId="2" xfId="0" applyFont="1" applyBorder="1" applyAlignment="1">
      <alignment vertical="center"/>
    </xf>
    <xf numFmtId="11" fontId="5" fillId="0" borderId="1" xfId="1" applyNumberFormat="1" applyAlignment="1">
      <alignment vertical="center"/>
    </xf>
    <xf numFmtId="0" fontId="0" fillId="2" borderId="8" xfId="0" applyFill="1" applyBorder="1"/>
    <xf numFmtId="0" fontId="0" fillId="2" borderId="9" xfId="0" applyFill="1" applyBorder="1"/>
    <xf numFmtId="0" fontId="0" fillId="2" borderId="10" xfId="0" applyFill="1" applyBorder="1"/>
    <xf numFmtId="0" fontId="0" fillId="2" borderId="11" xfId="0" applyFill="1" applyBorder="1"/>
    <xf numFmtId="0" fontId="0" fillId="2" borderId="0" xfId="0" applyFill="1"/>
    <xf numFmtId="0" fontId="0" fillId="2" borderId="12" xfId="0" applyFill="1" applyBorder="1"/>
    <xf numFmtId="0" fontId="11" fillId="2" borderId="0" xfId="3" applyFill="1" applyAlignment="1" applyProtection="1"/>
    <xf numFmtId="0" fontId="20" fillId="2" borderId="0" xfId="3" applyFont="1" applyFill="1" applyAlignment="1" applyProtection="1"/>
    <xf numFmtId="11" fontId="11" fillId="2" borderId="0" xfId="3" applyNumberFormat="1" applyFill="1" applyAlignment="1" applyProtection="1"/>
    <xf numFmtId="10" fontId="11" fillId="2" borderId="0" xfId="3" applyNumberFormat="1" applyFill="1" applyAlignment="1" applyProtection="1"/>
    <xf numFmtId="165" fontId="11" fillId="2" borderId="0" xfId="3" applyNumberFormat="1" applyFill="1" applyAlignment="1" applyProtection="1"/>
    <xf numFmtId="0" fontId="0" fillId="2" borderId="13" xfId="0" applyFill="1" applyBorder="1"/>
    <xf numFmtId="0" fontId="0" fillId="2" borderId="7" xfId="0" applyFill="1" applyBorder="1"/>
    <xf numFmtId="0" fontId="0" fillId="2" borderId="14" xfId="0" applyFill="1" applyBorder="1"/>
    <xf numFmtId="9" fontId="0" fillId="0" borderId="0" xfId="7" applyFont="1"/>
    <xf numFmtId="9" fontId="7" fillId="0" borderId="0" xfId="7" applyFont="1"/>
    <xf numFmtId="0" fontId="0" fillId="0" borderId="0" xfId="0" applyAlignment="1">
      <alignment horizontal="right" vertical="center"/>
    </xf>
    <xf numFmtId="11" fontId="8" fillId="0" borderId="0" xfId="0" applyNumberFormat="1" applyFont="1" applyAlignment="1">
      <alignment vertical="center"/>
    </xf>
    <xf numFmtId="0" fontId="16" fillId="5" borderId="3" xfId="6" applyAlignment="1">
      <alignment wrapText="1"/>
    </xf>
    <xf numFmtId="2" fontId="0" fillId="0" borderId="0" xfId="0" applyNumberFormat="1" applyAlignment="1">
      <alignment vertical="center"/>
    </xf>
    <xf numFmtId="1" fontId="0" fillId="0" borderId="0" xfId="0" applyNumberFormat="1" applyAlignment="1">
      <alignment vertical="center"/>
    </xf>
    <xf numFmtId="0" fontId="16" fillId="5" borderId="3" xfId="6" applyAlignment="1">
      <alignment horizontal="right" vertical="center"/>
    </xf>
    <xf numFmtId="165" fontId="0" fillId="0" borderId="0" xfId="0" applyNumberFormat="1"/>
    <xf numFmtId="166" fontId="0" fillId="0" borderId="0" xfId="7" applyNumberFormat="1" applyFont="1" applyFill="1"/>
    <xf numFmtId="0" fontId="20" fillId="2" borderId="0" xfId="3" applyFont="1" applyFill="1" applyAlignment="1" applyProtection="1">
      <alignment horizontal="center" vertical="center"/>
    </xf>
    <xf numFmtId="0" fontId="20" fillId="2" borderId="0" xfId="3" applyFont="1" applyFill="1" applyAlignment="1" applyProtection="1">
      <alignment horizontal="center"/>
    </xf>
    <xf numFmtId="0" fontId="0" fillId="2" borderId="0" xfId="0" applyFill="1" applyAlignment="1">
      <alignment horizontal="center"/>
    </xf>
    <xf numFmtId="0" fontId="27" fillId="0" borderId="0" xfId="0" applyFont="1" applyAlignment="1">
      <alignment horizontal="center" vertical="center" wrapText="1"/>
    </xf>
    <xf numFmtId="0" fontId="7" fillId="0" borderId="0" xfId="0" applyFont="1" applyAlignment="1">
      <alignment horizontal="center" vertical="center" wrapText="1"/>
    </xf>
    <xf numFmtId="11" fontId="8" fillId="0" borderId="0" xfId="0" applyNumberFormat="1" applyFont="1" applyAlignment="1">
      <alignment horizontal="center"/>
    </xf>
    <xf numFmtId="0" fontId="8" fillId="0" borderId="0" xfId="0" applyFont="1" applyAlignment="1">
      <alignment horizontal="center"/>
    </xf>
    <xf numFmtId="11" fontId="18" fillId="0" borderId="0" xfId="0" applyNumberFormat="1" applyFont="1" applyAlignment="1">
      <alignment horizontal="center"/>
    </xf>
    <xf numFmtId="0" fontId="0" fillId="0" borderId="0" xfId="0" applyAlignment="1">
      <alignment horizontal="center" vertical="center" wrapText="1"/>
    </xf>
    <xf numFmtId="0" fontId="18" fillId="0" borderId="0" xfId="0" applyFont="1" applyAlignment="1">
      <alignment horizontal="center" vertical="center" wrapText="1"/>
    </xf>
    <xf numFmtId="10" fontId="8" fillId="0" borderId="0" xfId="7" applyNumberFormat="1" applyFont="1" applyFill="1" applyAlignment="1">
      <alignment horizontal="center"/>
    </xf>
    <xf numFmtId="11" fontId="7" fillId="0" borderId="0" xfId="0" applyNumberFormat="1" applyFont="1" applyAlignment="1">
      <alignment horizontal="center" vertical="center" wrapText="1"/>
    </xf>
    <xf numFmtId="0" fontId="0" fillId="8" borderId="0" xfId="0" applyFill="1" applyAlignment="1">
      <alignment vertical="center"/>
    </xf>
    <xf numFmtId="0" fontId="2" fillId="8" borderId="0" xfId="0" applyFont="1" applyFill="1"/>
    <xf numFmtId="0" fontId="2" fillId="8" borderId="0" xfId="0" applyFont="1" applyFill="1" applyAlignment="1">
      <alignment vertical="center" wrapText="1"/>
    </xf>
    <xf numFmtId="0" fontId="0" fillId="8" borderId="0" xfId="0" applyFill="1"/>
    <xf numFmtId="0" fontId="2" fillId="8" borderId="0" xfId="0" applyFont="1" applyFill="1" applyAlignment="1">
      <alignment vertical="center"/>
    </xf>
    <xf numFmtId="0" fontId="2" fillId="8" borderId="0" xfId="0" applyFont="1" applyFill="1" applyAlignment="1">
      <alignment horizontal="center"/>
    </xf>
    <xf numFmtId="0" fontId="2" fillId="8" borderId="0" xfId="0" applyFont="1" applyFill="1" applyAlignment="1">
      <alignment horizontal="center" vertical="center"/>
    </xf>
    <xf numFmtId="0" fontId="27" fillId="8" borderId="0" xfId="0" applyFont="1" applyFill="1"/>
    <xf numFmtId="9" fontId="0" fillId="0" borderId="0" xfId="7" applyFont="1" applyAlignment="1">
      <alignment vertical="center"/>
    </xf>
    <xf numFmtId="167" fontId="0" fillId="0" borderId="0" xfId="0" applyNumberFormat="1" applyAlignment="1">
      <alignment vertical="center"/>
    </xf>
    <xf numFmtId="166" fontId="16" fillId="5" borderId="3" xfId="7" applyNumberFormat="1" applyFont="1" applyFill="1" applyBorder="1"/>
    <xf numFmtId="166" fontId="16" fillId="5" borderId="3" xfId="7" applyNumberFormat="1" applyFont="1" applyFill="1" applyBorder="1" applyAlignment="1">
      <alignment vertical="center"/>
    </xf>
    <xf numFmtId="0" fontId="10" fillId="0" borderId="0" xfId="2"/>
    <xf numFmtId="11" fontId="28" fillId="3" borderId="0" xfId="0" applyNumberFormat="1" applyFont="1" applyFill="1" applyAlignment="1">
      <alignment horizontal="center"/>
    </xf>
    <xf numFmtId="0" fontId="0" fillId="0" borderId="0" xfId="0" quotePrefix="1"/>
    <xf numFmtId="11" fontId="18" fillId="3" borderId="0" xfId="0" applyNumberFormat="1" applyFont="1" applyFill="1" applyAlignment="1">
      <alignment horizontal="center" vertical="center"/>
    </xf>
    <xf numFmtId="0" fontId="7" fillId="3" borderId="0" xfId="0" applyFont="1" applyFill="1"/>
    <xf numFmtId="11" fontId="0" fillId="7" borderId="0" xfId="0" applyNumberFormat="1" applyFill="1" applyAlignment="1">
      <alignment horizontal="center" vertical="center"/>
    </xf>
    <xf numFmtId="11" fontId="0" fillId="40" borderId="2" xfId="0" applyNumberFormat="1" applyFill="1" applyBorder="1" applyAlignment="1">
      <alignment horizontal="center" vertical="center"/>
    </xf>
    <xf numFmtId="0" fontId="0" fillId="0" borderId="0" xfId="0" quotePrefix="1" applyAlignment="1">
      <alignment horizontal="center"/>
    </xf>
    <xf numFmtId="11" fontId="0" fillId="3" borderId="0" xfId="7" applyNumberFormat="1" applyFont="1" applyFill="1" applyAlignment="1">
      <alignment horizontal="center" vertical="center"/>
    </xf>
    <xf numFmtId="11" fontId="0" fillId="40" borderId="17" xfId="0" applyNumberFormat="1" applyFill="1" applyBorder="1" applyAlignment="1">
      <alignment horizontal="center" vertical="center"/>
    </xf>
    <xf numFmtId="0" fontId="45" fillId="0" borderId="18" xfId="0" applyFont="1" applyBorder="1" applyAlignment="1">
      <alignment horizontal="center" vertical="center"/>
    </xf>
    <xf numFmtId="0" fontId="45" fillId="0" borderId="16" xfId="0" applyFont="1" applyBorder="1" applyAlignment="1">
      <alignment horizontal="center" vertical="center"/>
    </xf>
    <xf numFmtId="9" fontId="0" fillId="7" borderId="0" xfId="7" applyFont="1" applyFill="1" applyAlignment="1">
      <alignment horizontal="center" vertical="center"/>
    </xf>
    <xf numFmtId="0" fontId="45" fillId="0" borderId="0" xfId="0" applyFont="1" applyAlignment="1">
      <alignment horizontal="center" vertical="center"/>
    </xf>
    <xf numFmtId="9" fontId="0" fillId="0" borderId="0" xfId="7" applyFont="1" applyFill="1" applyBorder="1" applyAlignment="1">
      <alignment horizontal="center" vertical="center"/>
    </xf>
    <xf numFmtId="0" fontId="45" fillId="0" borderId="26" xfId="0" applyFont="1" applyBorder="1" applyAlignment="1">
      <alignment horizontal="center" vertical="center"/>
    </xf>
    <xf numFmtId="9" fontId="18" fillId="0" borderId="0" xfId="0" applyNumberFormat="1" applyFont="1" applyAlignment="1">
      <alignment horizontal="center" vertical="center"/>
    </xf>
    <xf numFmtId="0" fontId="25" fillId="0" borderId="27" xfId="0" applyFont="1" applyBorder="1" applyAlignment="1">
      <alignment horizontal="center" vertical="center"/>
    </xf>
    <xf numFmtId="0" fontId="45" fillId="0" borderId="16" xfId="0" applyFont="1" applyBorder="1" applyAlignment="1">
      <alignment horizontal="center" vertical="center" wrapText="1"/>
    </xf>
    <xf numFmtId="11" fontId="0" fillId="41" borderId="17" xfId="0" applyNumberFormat="1" applyFill="1" applyBorder="1" applyAlignment="1">
      <alignment horizontal="center" vertical="center"/>
    </xf>
    <xf numFmtId="11" fontId="0" fillId="41" borderId="2" xfId="0" applyNumberFormat="1" applyFill="1" applyBorder="1" applyAlignment="1">
      <alignment horizontal="center" vertical="center"/>
    </xf>
    <xf numFmtId="11" fontId="0" fillId="42" borderId="2" xfId="0" applyNumberFormat="1" applyFill="1" applyBorder="1" applyAlignment="1">
      <alignment horizontal="center" vertical="center"/>
    </xf>
    <xf numFmtId="11" fontId="0" fillId="42" borderId="17" xfId="0" applyNumberFormat="1" applyFill="1" applyBorder="1" applyAlignment="1">
      <alignment horizontal="center" vertical="center"/>
    </xf>
    <xf numFmtId="9" fontId="8" fillId="0" borderId="0" xfId="7" applyFont="1" applyFill="1" applyBorder="1" applyAlignment="1">
      <alignment horizontal="center" vertical="center"/>
    </xf>
    <xf numFmtId="9" fontId="8" fillId="0" borderId="0" xfId="7" applyFont="1" applyFill="1" applyAlignment="1">
      <alignment horizontal="center"/>
    </xf>
    <xf numFmtId="9" fontId="8" fillId="0" borderId="0" xfId="7" applyFont="1"/>
    <xf numFmtId="9" fontId="7" fillId="0" borderId="0" xfId="0" applyNumberFormat="1" applyFont="1"/>
    <xf numFmtId="166" fontId="0" fillId="0" borderId="0" xfId="7" applyNumberFormat="1" applyFont="1"/>
    <xf numFmtId="9" fontId="0" fillId="0" borderId="0" xfId="7" applyFont="1" applyAlignment="1">
      <alignment horizontal="center"/>
    </xf>
    <xf numFmtId="0" fontId="46" fillId="0" borderId="0" xfId="0" applyFont="1" applyAlignment="1">
      <alignment horizontal="center" vertical="center" wrapText="1"/>
    </xf>
    <xf numFmtId="9" fontId="0" fillId="43" borderId="0" xfId="7" applyFont="1" applyFill="1"/>
    <xf numFmtId="0" fontId="0" fillId="43" borderId="0" xfId="0" applyFill="1"/>
    <xf numFmtId="166" fontId="0" fillId="0" borderId="0" xfId="7" applyNumberFormat="1" applyFont="1" applyAlignment="1">
      <alignment horizontal="center" vertical="center" wrapText="1"/>
    </xf>
    <xf numFmtId="166" fontId="46" fillId="0" borderId="0" xfId="7" applyNumberFormat="1" applyFont="1" applyAlignment="1">
      <alignment horizontal="center" vertical="center" wrapText="1"/>
    </xf>
    <xf numFmtId="166" fontId="46" fillId="0" borderId="0" xfId="7" applyNumberFormat="1" applyFont="1" applyAlignment="1">
      <alignment horizontal="center"/>
    </xf>
    <xf numFmtId="0" fontId="28" fillId="5" borderId="3" xfId="6" applyFont="1" applyAlignment="1">
      <alignment vertical="center"/>
    </xf>
    <xf numFmtId="0" fontId="0" fillId="0" borderId="6" xfId="0" applyBorder="1" applyAlignment="1">
      <alignment horizontal="left" vertical="center" wrapText="1"/>
    </xf>
    <xf numFmtId="0" fontId="0" fillId="0" borderId="6" xfId="0" applyBorder="1" applyAlignment="1">
      <alignment horizontal="left" vertical="center"/>
    </xf>
    <xf numFmtId="0" fontId="0" fillId="0" borderId="0" xfId="0" applyAlignment="1">
      <alignment horizontal="left" vertical="center" wrapText="1"/>
    </xf>
    <xf numFmtId="0" fontId="0" fillId="0" borderId="0" xfId="0" applyAlignment="1">
      <alignment horizontal="left" wrapText="1"/>
    </xf>
    <xf numFmtId="0" fontId="45" fillId="7" borderId="17" xfId="0" applyFont="1" applyFill="1" applyBorder="1" applyAlignment="1">
      <alignment horizontal="center" vertical="center"/>
    </xf>
    <xf numFmtId="0" fontId="45" fillId="7" borderId="26" xfId="0" applyFont="1" applyFill="1" applyBorder="1" applyAlignment="1">
      <alignment horizontal="center" vertical="center"/>
    </xf>
    <xf numFmtId="0" fontId="45" fillId="0" borderId="17" xfId="0" applyFont="1" applyBorder="1" applyAlignment="1">
      <alignment horizontal="center" vertical="center" wrapText="1"/>
    </xf>
    <xf numFmtId="0" fontId="45" fillId="0" borderId="26" xfId="0" applyFont="1" applyBorder="1" applyAlignment="1">
      <alignment horizontal="center" vertical="center" wrapText="1"/>
    </xf>
    <xf numFmtId="11" fontId="2" fillId="0" borderId="17" xfId="0" applyNumberFormat="1" applyFont="1" applyBorder="1" applyAlignment="1">
      <alignment horizontal="left" vertical="center"/>
    </xf>
    <xf numFmtId="11" fontId="2" fillId="0" borderId="26" xfId="0" applyNumberFormat="1" applyFont="1" applyBorder="1" applyAlignment="1">
      <alignment horizontal="left" vertical="center"/>
    </xf>
    <xf numFmtId="11" fontId="2" fillId="0" borderId="17" xfId="0" applyNumberFormat="1" applyFont="1" applyBorder="1" applyAlignment="1">
      <alignment horizontal="center" vertical="center"/>
    </xf>
    <xf numFmtId="11" fontId="2" fillId="0" borderId="26" xfId="0" applyNumberFormat="1" applyFont="1" applyBorder="1" applyAlignment="1">
      <alignment horizontal="center" vertical="center"/>
    </xf>
    <xf numFmtId="0" fontId="27" fillId="0" borderId="17" xfId="0" applyFont="1" applyBorder="1" applyAlignment="1">
      <alignment horizontal="center" vertical="center" wrapText="1"/>
    </xf>
    <xf numFmtId="0" fontId="27" fillId="0" borderId="26" xfId="0" applyFont="1" applyBorder="1" applyAlignment="1">
      <alignment horizontal="center" vertical="center" wrapText="1"/>
    </xf>
    <xf numFmtId="0" fontId="20" fillId="9" borderId="15" xfId="0" applyFont="1" applyFill="1" applyBorder="1" applyAlignment="1">
      <alignment horizontal="center"/>
    </xf>
    <xf numFmtId="0" fontId="0" fillId="0" borderId="0" xfId="0" applyAlignment="1">
      <alignment horizontal="center" vertical="center" wrapText="1"/>
    </xf>
  </cellXfs>
  <cellStyles count="56">
    <cellStyle name="20% - Accent1" xfId="24" builtinId="30" customBuiltin="1"/>
    <cellStyle name="20% - Accent2" xfId="27" builtinId="34" customBuiltin="1"/>
    <cellStyle name="20% - Accent3" xfId="30" builtinId="38" customBuiltin="1"/>
    <cellStyle name="20% - Accent4" xfId="33" builtinId="42" customBuiltin="1"/>
    <cellStyle name="20% - Accent5" xfId="36" builtinId="46" customBuiltin="1"/>
    <cellStyle name="20% - Accent6" xfId="39" builtinId="50" customBuiltin="1"/>
    <cellStyle name="40% - Accent1" xfId="25" builtinId="31" customBuiltin="1"/>
    <cellStyle name="40% - Accent2" xfId="28" builtinId="35" customBuiltin="1"/>
    <cellStyle name="40% - Accent3" xfId="31" builtinId="39" customBuiltin="1"/>
    <cellStyle name="40% - Accent4" xfId="34" builtinId="43" customBuiltin="1"/>
    <cellStyle name="40% - Accent5" xfId="37" builtinId="47" customBuiltin="1"/>
    <cellStyle name="40% - Accent6" xfId="40" builtinId="51" customBuiltin="1"/>
    <cellStyle name="60% - Accent1 2" xfId="46" xr:uid="{19D8BFAB-850F-4BE0-8100-728B2B74F696}"/>
    <cellStyle name="60% - Accent2 2" xfId="47" xr:uid="{6C5C6276-D967-4EA3-8DB6-A55C5F3191D6}"/>
    <cellStyle name="60% - Accent3 2" xfId="48" xr:uid="{CE198D7D-F59A-4053-990B-FA0D73F6B191}"/>
    <cellStyle name="60% - Accent4 2" xfId="49" xr:uid="{517C2FE4-C661-4830-B692-2604D6A1A862}"/>
    <cellStyle name="60% - Accent5 2" xfId="50" xr:uid="{E8766B96-6945-4FEB-A76C-85AF956EECEE}"/>
    <cellStyle name="60% - Accent6 2" xfId="51" xr:uid="{E108AAE3-13D9-4441-B968-4E12937E9C62}"/>
    <cellStyle name="Accent1" xfId="23" builtinId="29" customBuiltin="1"/>
    <cellStyle name="Accent2" xfId="26" builtinId="33" customBuiltin="1"/>
    <cellStyle name="Accent3" xfId="29" builtinId="37" customBuiltin="1"/>
    <cellStyle name="Accent4" xfId="32" builtinId="41" customBuiltin="1"/>
    <cellStyle name="Accent5" xfId="35" builtinId="45" customBuiltin="1"/>
    <cellStyle name="Accent6" xfId="38" builtinId="49" customBuiltin="1"/>
    <cellStyle name="Bad" xfId="16" builtinId="27" customBuiltin="1"/>
    <cellStyle name="Calculation" xfId="6" builtinId="22"/>
    <cellStyle name="Calculation 2" xfId="43" xr:uid="{7B581967-D761-4182-A272-50F594472828}"/>
    <cellStyle name="Check Cell" xfId="19" builtinId="23" customBuiltin="1"/>
    <cellStyle name="Comma 2" xfId="54" xr:uid="{6398617B-EE24-428B-99E3-E2BD20651899}"/>
    <cellStyle name="Explanatory Text" xfId="21" builtinId="53" customBuiltin="1"/>
    <cellStyle name="Good" xfId="15" builtinId="26" customBuiltin="1"/>
    <cellStyle name="Heading 1" xfId="11" builtinId="16" customBuiltin="1"/>
    <cellStyle name="Heading 2" xfId="12" builtinId="17" customBuiltin="1"/>
    <cellStyle name="Heading 3" xfId="13" builtinId="18" customBuiltin="1"/>
    <cellStyle name="Heading 4" xfId="14" builtinId="19" customBuiltin="1"/>
    <cellStyle name="Hyperlink" xfId="2" builtinId="8"/>
    <cellStyle name="Hyperlink 2" xfId="8" xr:uid="{00000000-0005-0000-0000-000002000000}"/>
    <cellStyle name="Input" xfId="17" builtinId="20" customBuiltin="1"/>
    <cellStyle name="Linked Cell" xfId="1" builtinId="24"/>
    <cellStyle name="Linked Cell 2" xfId="44" xr:uid="{5D18ED66-AC15-4EDE-A2DE-B7474163EF36}"/>
    <cellStyle name="Neutral 2" xfId="42" xr:uid="{243A9B67-B519-43BD-9B34-D4859740563C}"/>
    <cellStyle name="Normal" xfId="0" builtinId="0"/>
    <cellStyle name="Normal 16" xfId="52" xr:uid="{E1BA95AA-0A14-415C-AA1B-EBC14121DF79}"/>
    <cellStyle name="Normal 2" xfId="3" xr:uid="{00000000-0005-0000-0000-000005000000}"/>
    <cellStyle name="Normal 2 2" xfId="55" xr:uid="{6148E13B-EED7-4370-8B00-9F99C9A51777}"/>
    <cellStyle name="Normal 3" xfId="4" xr:uid="{00000000-0005-0000-0000-000006000000}"/>
    <cellStyle name="Normal 4" xfId="5" xr:uid="{00000000-0005-0000-0000-000007000000}"/>
    <cellStyle name="Normal 5" xfId="41" xr:uid="{85AABE8C-E457-470B-B31A-437423D58A79}"/>
    <cellStyle name="Note 2" xfId="45" xr:uid="{FDF1060B-F2E3-4F96-9170-50623AC1D622}"/>
    <cellStyle name="Output" xfId="18" builtinId="21" customBuiltin="1"/>
    <cellStyle name="Per cent" xfId="7" builtinId="5"/>
    <cellStyle name="Percent 2" xfId="9" xr:uid="{00000000-0005-0000-0000-000009000000}"/>
    <cellStyle name="Percent 3" xfId="53" xr:uid="{5A23FAEB-295A-46A0-93D2-9AFCE5381113}"/>
    <cellStyle name="Title" xfId="10" builtinId="15" customBuiltin="1"/>
    <cellStyle name="Total" xfId="22" builtinId="25" customBuiltin="1"/>
    <cellStyle name="Warning Text" xfId="20" builtinId="11" customBuiltin="1"/>
  </cellStyles>
  <dxfs count="0"/>
  <tableStyles count="0" defaultTableStyle="TableStyleMedium2" defaultPivotStyle="PivotStyleLight16"/>
  <colors>
    <mruColors>
      <color rgb="FFFF6161"/>
      <color rgb="FFFFB871"/>
      <color rgb="FFB889DB"/>
      <color rgb="FFFFB3B3"/>
      <color rgb="FFFF5050"/>
      <color rgb="FFFF9966"/>
      <color rgb="FFFF9900"/>
      <color rgb="FF456B2B"/>
      <color rgb="FF2B6CA7"/>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Exp curve of cooling (ideal)</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CH"/>
        </a:p>
      </c:txPr>
    </c:title>
    <c:autoTitleDeleted val="0"/>
    <c:plotArea>
      <c:layout/>
      <c:scatterChart>
        <c:scatterStyle val="lineMarker"/>
        <c:varyColors val="0"/>
        <c:ser>
          <c:idx val="0"/>
          <c:order val="0"/>
          <c:spPr>
            <a:ln w="1905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exp"/>
            <c:dispRSqr val="0"/>
            <c:dispEq val="0"/>
          </c:trendline>
          <c:xVal>
            <c:numRef>
              <c:f>'LCI parameters'!$M$23:$M$24</c:f>
              <c:numCache>
                <c:formatCode>General</c:formatCode>
                <c:ptCount val="2"/>
                <c:pt idx="0">
                  <c:v>0</c:v>
                </c:pt>
                <c:pt idx="1">
                  <c:v>30</c:v>
                </c:pt>
              </c:numCache>
            </c:numRef>
          </c:xVal>
          <c:yVal>
            <c:numRef>
              <c:f>'LCI parameters'!$N$23:$N$24</c:f>
              <c:numCache>
                <c:formatCode>General</c:formatCode>
                <c:ptCount val="2"/>
                <c:pt idx="0">
                  <c:v>17</c:v>
                </c:pt>
                <c:pt idx="1">
                  <c:v>4</c:v>
                </c:pt>
              </c:numCache>
            </c:numRef>
          </c:yVal>
          <c:smooth val="0"/>
          <c:extLst>
            <c:ext xmlns:c16="http://schemas.microsoft.com/office/drawing/2014/chart" uri="{C3380CC4-5D6E-409C-BE32-E72D297353CC}">
              <c16:uniqueId val="{00000000-FA03-40C7-8955-DCC7D6DE00FF}"/>
            </c:ext>
          </c:extLst>
        </c:ser>
        <c:dLbls>
          <c:showLegendKey val="0"/>
          <c:showVal val="0"/>
          <c:showCatName val="0"/>
          <c:showSerName val="0"/>
          <c:showPercent val="0"/>
          <c:showBubbleSize val="0"/>
        </c:dLbls>
        <c:axId val="513524744"/>
        <c:axId val="513525072"/>
      </c:scatterChart>
      <c:valAx>
        <c:axId val="513524744"/>
        <c:scaling>
          <c:orientation val="minMax"/>
          <c:max val="30"/>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CH"/>
          </a:p>
        </c:txPr>
        <c:crossAx val="513525072"/>
        <c:crosses val="autoZero"/>
        <c:crossBetween val="midCat"/>
        <c:majorUnit val="2"/>
      </c:valAx>
      <c:valAx>
        <c:axId val="513525072"/>
        <c:scaling>
          <c:orientation val="minMax"/>
          <c:max val="17"/>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CH"/>
          </a:p>
        </c:txPr>
        <c:crossAx val="513524744"/>
        <c:crosses val="autoZero"/>
        <c:crossBetween val="midCat"/>
        <c:majorUnit val="1"/>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CH"/>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7122703412073491E-2"/>
          <c:y val="5.0925925925925923E-2"/>
          <c:w val="0.87232174103237092"/>
          <c:h val="0.53632430300604916"/>
        </c:manualLayout>
      </c:layout>
      <c:barChart>
        <c:barDir val="col"/>
        <c:grouping val="percentStacked"/>
        <c:varyColors val="0"/>
        <c:ser>
          <c:idx val="0"/>
          <c:order val="0"/>
          <c:tx>
            <c:strRef>
              <c:f>'LCA results'!$D$25</c:f>
              <c:strCache>
                <c:ptCount val="1"/>
                <c:pt idx="0">
                  <c:v>Step1_Cultivation</c:v>
                </c:pt>
              </c:strCache>
            </c:strRef>
          </c:tx>
          <c:spPr>
            <a:solidFill>
              <a:schemeClr val="accent6"/>
            </a:solidFill>
            <a:ln>
              <a:noFill/>
            </a:ln>
            <a:effectLst/>
          </c:spPr>
          <c:invertIfNegative val="0"/>
          <c:cat>
            <c:strRef>
              <c:extLst>
                <c:ext xmlns:c15="http://schemas.microsoft.com/office/drawing/2012/chart" uri="{02D57815-91ED-43cb-92C2-25804820EDAC}">
                  <c15:fullRef>
                    <c15:sqref>'LCA results'!$B$26:$B$42</c15:sqref>
                  </c15:fullRef>
                </c:ext>
              </c:extLst>
              <c:f>'LCA results'!$B$27:$B$42</c:f>
              <c:strCache>
                <c:ptCount val="16"/>
                <c:pt idx="0">
                  <c:v>AC</c:v>
                </c:pt>
                <c:pt idx="1">
                  <c:v>CC</c:v>
                </c:pt>
                <c:pt idx="2">
                  <c:v>Ecotox</c:v>
                </c:pt>
                <c:pt idx="3">
                  <c:v>PM</c:v>
                </c:pt>
                <c:pt idx="4">
                  <c:v>EU_m</c:v>
                </c:pt>
                <c:pt idx="5">
                  <c:v>EU_f</c:v>
                </c:pt>
                <c:pt idx="6">
                  <c:v>EU_t</c:v>
                </c:pt>
                <c:pt idx="7">
                  <c:v>Htox_c</c:v>
                </c:pt>
                <c:pt idx="8">
                  <c:v>Htox_nc</c:v>
                </c:pt>
                <c:pt idx="9">
                  <c:v>IR</c:v>
                </c:pt>
                <c:pt idx="10">
                  <c:v>LU</c:v>
                </c:pt>
                <c:pt idx="11">
                  <c:v>OD</c:v>
                </c:pt>
                <c:pt idx="12">
                  <c:v>POF</c:v>
                </c:pt>
                <c:pt idx="13">
                  <c:v>RU_f</c:v>
                </c:pt>
                <c:pt idx="14">
                  <c:v>RU_mm</c:v>
                </c:pt>
                <c:pt idx="15">
                  <c:v>WU</c:v>
                </c:pt>
              </c:strCache>
            </c:strRef>
          </c:cat>
          <c:val>
            <c:numRef>
              <c:extLst>
                <c:ext xmlns:c15="http://schemas.microsoft.com/office/drawing/2012/chart" uri="{02D57815-91ED-43cb-92C2-25804820EDAC}">
                  <c15:fullRef>
                    <c15:sqref>'LCA results'!$D$26:$D$42</c15:sqref>
                  </c15:fullRef>
                </c:ext>
              </c:extLst>
              <c:f>'LCA results'!$D$27:$D$42</c:f>
              <c:numCache>
                <c:formatCode>0%</c:formatCode>
                <c:ptCount val="16"/>
                <c:pt idx="0">
                  <c:v>0.16826871138636637</c:v>
                </c:pt>
                <c:pt idx="1">
                  <c:v>0.13733668988465983</c:v>
                </c:pt>
                <c:pt idx="2">
                  <c:v>0.68075631942195292</c:v>
                </c:pt>
                <c:pt idx="3">
                  <c:v>0.23958133865432549</c:v>
                </c:pt>
                <c:pt idx="4">
                  <c:v>0.21792339947712874</c:v>
                </c:pt>
                <c:pt idx="5">
                  <c:v>0.45315270490834519</c:v>
                </c:pt>
                <c:pt idx="6">
                  <c:v>0.17590880869461681</c:v>
                </c:pt>
                <c:pt idx="7">
                  <c:v>0.20857773819454656</c:v>
                </c:pt>
                <c:pt idx="8">
                  <c:v>0.41326865609247004</c:v>
                </c:pt>
                <c:pt idx="9">
                  <c:v>0.18113829548975371</c:v>
                </c:pt>
                <c:pt idx="10">
                  <c:v>0.56531807341045026</c:v>
                </c:pt>
                <c:pt idx="11">
                  <c:v>0.3166352654011097</c:v>
                </c:pt>
                <c:pt idx="12">
                  <c:v>8.6630389719479214E-2</c:v>
                </c:pt>
                <c:pt idx="13">
                  <c:v>0.1680058791750213</c:v>
                </c:pt>
                <c:pt idx="14">
                  <c:v>0.40775400174745308</c:v>
                </c:pt>
                <c:pt idx="15">
                  <c:v>0.9880152122046636</c:v>
                </c:pt>
              </c:numCache>
            </c:numRef>
          </c:val>
          <c:extLst>
            <c:ext xmlns:c16="http://schemas.microsoft.com/office/drawing/2014/chart" uri="{C3380CC4-5D6E-409C-BE32-E72D297353CC}">
              <c16:uniqueId val="{00000000-3D47-4487-A110-420A6EE2965E}"/>
            </c:ext>
          </c:extLst>
        </c:ser>
        <c:ser>
          <c:idx val="1"/>
          <c:order val="1"/>
          <c:tx>
            <c:strRef>
              <c:f>'LCA results'!$E$25</c:f>
              <c:strCache>
                <c:ptCount val="1"/>
                <c:pt idx="0">
                  <c:v>Step2_Packaging &amp; Palletization</c:v>
                </c:pt>
              </c:strCache>
            </c:strRef>
          </c:tx>
          <c:spPr>
            <a:solidFill>
              <a:srgbClr val="C00000"/>
            </a:solidFill>
            <a:ln>
              <a:noFill/>
            </a:ln>
            <a:effectLst/>
          </c:spPr>
          <c:invertIfNegative val="0"/>
          <c:cat>
            <c:strRef>
              <c:extLst>
                <c:ext xmlns:c15="http://schemas.microsoft.com/office/drawing/2012/chart" uri="{02D57815-91ED-43cb-92C2-25804820EDAC}">
                  <c15:fullRef>
                    <c15:sqref>'LCA results'!$B$26:$B$42</c15:sqref>
                  </c15:fullRef>
                </c:ext>
              </c:extLst>
              <c:f>'LCA results'!$B$27:$B$42</c:f>
              <c:strCache>
                <c:ptCount val="16"/>
                <c:pt idx="0">
                  <c:v>AC</c:v>
                </c:pt>
                <c:pt idx="1">
                  <c:v>CC</c:v>
                </c:pt>
                <c:pt idx="2">
                  <c:v>Ecotox</c:v>
                </c:pt>
                <c:pt idx="3">
                  <c:v>PM</c:v>
                </c:pt>
                <c:pt idx="4">
                  <c:v>EU_m</c:v>
                </c:pt>
                <c:pt idx="5">
                  <c:v>EU_f</c:v>
                </c:pt>
                <c:pt idx="6">
                  <c:v>EU_t</c:v>
                </c:pt>
                <c:pt idx="7">
                  <c:v>Htox_c</c:v>
                </c:pt>
                <c:pt idx="8">
                  <c:v>Htox_nc</c:v>
                </c:pt>
                <c:pt idx="9">
                  <c:v>IR</c:v>
                </c:pt>
                <c:pt idx="10">
                  <c:v>LU</c:v>
                </c:pt>
                <c:pt idx="11">
                  <c:v>OD</c:v>
                </c:pt>
                <c:pt idx="12">
                  <c:v>POF</c:v>
                </c:pt>
                <c:pt idx="13">
                  <c:v>RU_f</c:v>
                </c:pt>
                <c:pt idx="14">
                  <c:v>RU_mm</c:v>
                </c:pt>
                <c:pt idx="15">
                  <c:v>WU</c:v>
                </c:pt>
              </c:strCache>
            </c:strRef>
          </c:cat>
          <c:val>
            <c:numRef>
              <c:extLst>
                <c:ext xmlns:c15="http://schemas.microsoft.com/office/drawing/2012/chart" uri="{02D57815-91ED-43cb-92C2-25804820EDAC}">
                  <c15:fullRef>
                    <c15:sqref>'LCA results'!$E$26:$E$42</c15:sqref>
                  </c15:fullRef>
                </c:ext>
              </c:extLst>
              <c:f>'LCA results'!$E$27:$E$42</c:f>
              <c:numCache>
                <c:formatCode>0%</c:formatCode>
                <c:ptCount val="16"/>
                <c:pt idx="0">
                  <c:v>0.19009081692845251</c:v>
                </c:pt>
                <c:pt idx="1">
                  <c:v>0.28730825198497756</c:v>
                </c:pt>
                <c:pt idx="2">
                  <c:v>9.1605105214555838E-2</c:v>
                </c:pt>
                <c:pt idx="3">
                  <c:v>0.35164979939051677</c:v>
                </c:pt>
                <c:pt idx="4">
                  <c:v>0.1633837383517219</c:v>
                </c:pt>
                <c:pt idx="5">
                  <c:v>0.38119358029644618</c:v>
                </c:pt>
                <c:pt idx="6">
                  <c:v>0.13359701204693111</c:v>
                </c:pt>
                <c:pt idx="7">
                  <c:v>0.35746543471347103</c:v>
                </c:pt>
                <c:pt idx="8">
                  <c:v>0.31053461328626625</c:v>
                </c:pt>
                <c:pt idx="9">
                  <c:v>0.50079843897404031</c:v>
                </c:pt>
                <c:pt idx="10">
                  <c:v>0.38649113010215508</c:v>
                </c:pt>
                <c:pt idx="11">
                  <c:v>0.23284240198980885</c:v>
                </c:pt>
                <c:pt idx="12">
                  <c:v>0.15509549439100023</c:v>
                </c:pt>
                <c:pt idx="13">
                  <c:v>0.29418448692730115</c:v>
                </c:pt>
                <c:pt idx="14">
                  <c:v>0.17617140054662406</c:v>
                </c:pt>
                <c:pt idx="15">
                  <c:v>7.6677618873677439E-3</c:v>
                </c:pt>
              </c:numCache>
            </c:numRef>
          </c:val>
          <c:extLst>
            <c:ext xmlns:c16="http://schemas.microsoft.com/office/drawing/2014/chart" uri="{C3380CC4-5D6E-409C-BE32-E72D297353CC}">
              <c16:uniqueId val="{00000007-3D47-4487-A110-420A6EE2965E}"/>
            </c:ext>
          </c:extLst>
        </c:ser>
        <c:ser>
          <c:idx val="2"/>
          <c:order val="2"/>
          <c:tx>
            <c:strRef>
              <c:f>'LCA results'!$F$25</c:f>
              <c:strCache>
                <c:ptCount val="1"/>
                <c:pt idx="0">
                  <c:v>Step3_Pre-cooling</c:v>
                </c:pt>
              </c:strCache>
            </c:strRef>
          </c:tx>
          <c:spPr>
            <a:solidFill>
              <a:schemeClr val="accent3"/>
            </a:solidFill>
            <a:ln>
              <a:noFill/>
            </a:ln>
            <a:effectLst/>
          </c:spPr>
          <c:invertIfNegative val="0"/>
          <c:cat>
            <c:strRef>
              <c:extLst>
                <c:ext xmlns:c15="http://schemas.microsoft.com/office/drawing/2012/chart" uri="{02D57815-91ED-43cb-92C2-25804820EDAC}">
                  <c15:fullRef>
                    <c15:sqref>'LCA results'!$B$26:$B$42</c15:sqref>
                  </c15:fullRef>
                </c:ext>
              </c:extLst>
              <c:f>'LCA results'!$B$27:$B$42</c:f>
              <c:strCache>
                <c:ptCount val="16"/>
                <c:pt idx="0">
                  <c:v>AC</c:v>
                </c:pt>
                <c:pt idx="1">
                  <c:v>CC</c:v>
                </c:pt>
                <c:pt idx="2">
                  <c:v>Ecotox</c:v>
                </c:pt>
                <c:pt idx="3">
                  <c:v>PM</c:v>
                </c:pt>
                <c:pt idx="4">
                  <c:v>EU_m</c:v>
                </c:pt>
                <c:pt idx="5">
                  <c:v>EU_f</c:v>
                </c:pt>
                <c:pt idx="6">
                  <c:v>EU_t</c:v>
                </c:pt>
                <c:pt idx="7">
                  <c:v>Htox_c</c:v>
                </c:pt>
                <c:pt idx="8">
                  <c:v>Htox_nc</c:v>
                </c:pt>
                <c:pt idx="9">
                  <c:v>IR</c:v>
                </c:pt>
                <c:pt idx="10">
                  <c:v>LU</c:v>
                </c:pt>
                <c:pt idx="11">
                  <c:v>OD</c:v>
                </c:pt>
                <c:pt idx="12">
                  <c:v>POF</c:v>
                </c:pt>
                <c:pt idx="13">
                  <c:v>RU_f</c:v>
                </c:pt>
                <c:pt idx="14">
                  <c:v>RU_mm</c:v>
                </c:pt>
                <c:pt idx="15">
                  <c:v>WU</c:v>
                </c:pt>
              </c:strCache>
            </c:strRef>
          </c:cat>
          <c:val>
            <c:numRef>
              <c:extLst>
                <c:ext xmlns:c15="http://schemas.microsoft.com/office/drawing/2012/chart" uri="{02D57815-91ED-43cb-92C2-25804820EDAC}">
                  <c15:fullRef>
                    <c15:sqref>'LCA results'!$F$26:$F$42</c15:sqref>
                  </c15:fullRef>
                </c:ext>
              </c:extLst>
              <c:f>'LCA results'!$F$27:$F$42</c:f>
              <c:numCache>
                <c:formatCode>0%</c:formatCode>
                <c:ptCount val="16"/>
                <c:pt idx="0">
                  <c:v>7.0603144763944456E-2</c:v>
                </c:pt>
                <c:pt idx="1">
                  <c:v>7.0374535418164214E-2</c:v>
                </c:pt>
                <c:pt idx="2">
                  <c:v>9.2416564207882593E-3</c:v>
                </c:pt>
                <c:pt idx="3">
                  <c:v>4.3274921267167019E-2</c:v>
                </c:pt>
                <c:pt idx="4">
                  <c:v>3.3076390629049629E-2</c:v>
                </c:pt>
                <c:pt idx="5">
                  <c:v>9.4539898734989386E-2</c:v>
                </c:pt>
                <c:pt idx="6">
                  <c:v>4.2614088350641018E-2</c:v>
                </c:pt>
                <c:pt idx="7">
                  <c:v>5.5417417734604429E-2</c:v>
                </c:pt>
                <c:pt idx="8">
                  <c:v>8.112397902440624E-2</c:v>
                </c:pt>
                <c:pt idx="9">
                  <c:v>8.5864846019255869E-2</c:v>
                </c:pt>
                <c:pt idx="10">
                  <c:v>8.2294845310663927E-3</c:v>
                </c:pt>
                <c:pt idx="11">
                  <c:v>1.3065163089598651E-2</c:v>
                </c:pt>
                <c:pt idx="12">
                  <c:v>4.0183016084051747E-2</c:v>
                </c:pt>
                <c:pt idx="13">
                  <c:v>7.3451841793092013E-2</c:v>
                </c:pt>
                <c:pt idx="14">
                  <c:v>6.9194618514617987E-2</c:v>
                </c:pt>
                <c:pt idx="15">
                  <c:v>9.103473515769513E-4</c:v>
                </c:pt>
              </c:numCache>
            </c:numRef>
          </c:val>
          <c:extLst>
            <c:ext xmlns:c16="http://schemas.microsoft.com/office/drawing/2014/chart" uri="{C3380CC4-5D6E-409C-BE32-E72D297353CC}">
              <c16:uniqueId val="{00000008-3D47-4487-A110-420A6EE2965E}"/>
            </c:ext>
          </c:extLst>
        </c:ser>
        <c:ser>
          <c:idx val="3"/>
          <c:order val="3"/>
          <c:tx>
            <c:strRef>
              <c:f>'LCA results'!$G$25</c:f>
              <c:strCache>
                <c:ptCount val="1"/>
                <c:pt idx="0">
                  <c:v>Step4_Overseas transport</c:v>
                </c:pt>
              </c:strCache>
            </c:strRef>
          </c:tx>
          <c:spPr>
            <a:solidFill>
              <a:schemeClr val="accent1"/>
            </a:solidFill>
            <a:ln>
              <a:noFill/>
            </a:ln>
            <a:effectLst/>
          </c:spPr>
          <c:invertIfNegative val="0"/>
          <c:cat>
            <c:strRef>
              <c:extLst>
                <c:ext xmlns:c15="http://schemas.microsoft.com/office/drawing/2012/chart" uri="{02D57815-91ED-43cb-92C2-25804820EDAC}">
                  <c15:fullRef>
                    <c15:sqref>'LCA results'!$B$26:$B$42</c15:sqref>
                  </c15:fullRef>
                </c:ext>
              </c:extLst>
              <c:f>'LCA results'!$B$27:$B$42</c:f>
              <c:strCache>
                <c:ptCount val="16"/>
                <c:pt idx="0">
                  <c:v>AC</c:v>
                </c:pt>
                <c:pt idx="1">
                  <c:v>CC</c:v>
                </c:pt>
                <c:pt idx="2">
                  <c:v>Ecotox</c:v>
                </c:pt>
                <c:pt idx="3">
                  <c:v>PM</c:v>
                </c:pt>
                <c:pt idx="4">
                  <c:v>EU_m</c:v>
                </c:pt>
                <c:pt idx="5">
                  <c:v>EU_f</c:v>
                </c:pt>
                <c:pt idx="6">
                  <c:v>EU_t</c:v>
                </c:pt>
                <c:pt idx="7">
                  <c:v>Htox_c</c:v>
                </c:pt>
                <c:pt idx="8">
                  <c:v>Htox_nc</c:v>
                </c:pt>
                <c:pt idx="9">
                  <c:v>IR</c:v>
                </c:pt>
                <c:pt idx="10">
                  <c:v>LU</c:v>
                </c:pt>
                <c:pt idx="11">
                  <c:v>OD</c:v>
                </c:pt>
                <c:pt idx="12">
                  <c:v>POF</c:v>
                </c:pt>
                <c:pt idx="13">
                  <c:v>RU_f</c:v>
                </c:pt>
                <c:pt idx="14">
                  <c:v>RU_mm</c:v>
                </c:pt>
                <c:pt idx="15">
                  <c:v>WU</c:v>
                </c:pt>
              </c:strCache>
            </c:strRef>
          </c:cat>
          <c:val>
            <c:numRef>
              <c:extLst>
                <c:ext xmlns:c15="http://schemas.microsoft.com/office/drawing/2012/chart" uri="{02D57815-91ED-43cb-92C2-25804820EDAC}">
                  <c15:fullRef>
                    <c15:sqref>'LCA results'!$G$26:$G$42</c15:sqref>
                  </c15:fullRef>
                </c:ext>
              </c:extLst>
              <c:f>'LCA results'!$G$27:$G$42</c:f>
              <c:numCache>
                <c:formatCode>0%</c:formatCode>
                <c:ptCount val="16"/>
                <c:pt idx="0">
                  <c:v>0.52399873940105002</c:v>
                </c:pt>
                <c:pt idx="1">
                  <c:v>0.30176870449411269</c:v>
                </c:pt>
                <c:pt idx="2">
                  <c:v>0.12018642707385606</c:v>
                </c:pt>
                <c:pt idx="3">
                  <c:v>0.197268457509993</c:v>
                </c:pt>
                <c:pt idx="4">
                  <c:v>0.53953852695703253</c:v>
                </c:pt>
                <c:pt idx="5">
                  <c:v>2.5879898491708592E-2</c:v>
                </c:pt>
                <c:pt idx="6">
                  <c:v>0.59332336988230161</c:v>
                </c:pt>
                <c:pt idx="7">
                  <c:v>0.19258829861134472</c:v>
                </c:pt>
                <c:pt idx="8">
                  <c:v>7.1961439265128269E-2</c:v>
                </c:pt>
                <c:pt idx="9">
                  <c:v>8.643430180264576E-2</c:v>
                </c:pt>
                <c:pt idx="10">
                  <c:v>1.5987614958586551E-2</c:v>
                </c:pt>
                <c:pt idx="11">
                  <c:v>0.25352435622583214</c:v>
                </c:pt>
                <c:pt idx="12">
                  <c:v>0.64428941630445791</c:v>
                </c:pt>
                <c:pt idx="13">
                  <c:v>0.30777106094839046</c:v>
                </c:pt>
                <c:pt idx="14">
                  <c:v>9.663517192079471E-2</c:v>
                </c:pt>
                <c:pt idx="15">
                  <c:v>1.11487480755573E-3</c:v>
                </c:pt>
              </c:numCache>
            </c:numRef>
          </c:val>
          <c:extLst>
            <c:ext xmlns:c16="http://schemas.microsoft.com/office/drawing/2014/chart" uri="{C3380CC4-5D6E-409C-BE32-E72D297353CC}">
              <c16:uniqueId val="{00000009-3D47-4487-A110-420A6EE2965E}"/>
            </c:ext>
          </c:extLst>
        </c:ser>
        <c:ser>
          <c:idx val="4"/>
          <c:order val="4"/>
          <c:tx>
            <c:strRef>
              <c:f>'LCA results'!$H$25</c:f>
              <c:strCache>
                <c:ptCount val="1"/>
                <c:pt idx="0">
                  <c:v>Step5_Storage</c:v>
                </c:pt>
              </c:strCache>
            </c:strRef>
          </c:tx>
          <c:spPr>
            <a:solidFill>
              <a:schemeClr val="accent4"/>
            </a:solidFill>
            <a:ln>
              <a:noFill/>
            </a:ln>
            <a:effectLst/>
          </c:spPr>
          <c:invertIfNegative val="0"/>
          <c:cat>
            <c:strRef>
              <c:extLst>
                <c:ext xmlns:c15="http://schemas.microsoft.com/office/drawing/2012/chart" uri="{02D57815-91ED-43cb-92C2-25804820EDAC}">
                  <c15:fullRef>
                    <c15:sqref>'LCA results'!$B$26:$B$42</c15:sqref>
                  </c15:fullRef>
                </c:ext>
              </c:extLst>
              <c:f>'LCA results'!$B$27:$B$42</c:f>
              <c:strCache>
                <c:ptCount val="16"/>
                <c:pt idx="0">
                  <c:v>AC</c:v>
                </c:pt>
                <c:pt idx="1">
                  <c:v>CC</c:v>
                </c:pt>
                <c:pt idx="2">
                  <c:v>Ecotox</c:v>
                </c:pt>
                <c:pt idx="3">
                  <c:v>PM</c:v>
                </c:pt>
                <c:pt idx="4">
                  <c:v>EU_m</c:v>
                </c:pt>
                <c:pt idx="5">
                  <c:v>EU_f</c:v>
                </c:pt>
                <c:pt idx="6">
                  <c:v>EU_t</c:v>
                </c:pt>
                <c:pt idx="7">
                  <c:v>Htox_c</c:v>
                </c:pt>
                <c:pt idx="8">
                  <c:v>Htox_nc</c:v>
                </c:pt>
                <c:pt idx="9">
                  <c:v>IR</c:v>
                </c:pt>
                <c:pt idx="10">
                  <c:v>LU</c:v>
                </c:pt>
                <c:pt idx="11">
                  <c:v>OD</c:v>
                </c:pt>
                <c:pt idx="12">
                  <c:v>POF</c:v>
                </c:pt>
                <c:pt idx="13">
                  <c:v>RU_f</c:v>
                </c:pt>
                <c:pt idx="14">
                  <c:v>RU_mm</c:v>
                </c:pt>
                <c:pt idx="15">
                  <c:v>WU</c:v>
                </c:pt>
              </c:strCache>
            </c:strRef>
          </c:cat>
          <c:val>
            <c:numRef>
              <c:extLst>
                <c:ext xmlns:c15="http://schemas.microsoft.com/office/drawing/2012/chart" uri="{02D57815-91ED-43cb-92C2-25804820EDAC}">
                  <c15:fullRef>
                    <c15:sqref>'LCA results'!$H$26:$H$42</c15:sqref>
                  </c15:fullRef>
                </c:ext>
              </c:extLst>
              <c:f>'LCA results'!$H$27:$H$42</c:f>
              <c:numCache>
                <c:formatCode>0%</c:formatCode>
                <c:ptCount val="16"/>
                <c:pt idx="0">
                  <c:v>8.445281302305636E-3</c:v>
                </c:pt>
                <c:pt idx="1">
                  <c:v>1.7818511312720556E-2</c:v>
                </c:pt>
                <c:pt idx="2">
                  <c:v>6.0608302456789135E-3</c:v>
                </c:pt>
                <c:pt idx="3">
                  <c:v>2.6086175080045456E-2</c:v>
                </c:pt>
                <c:pt idx="4">
                  <c:v>4.9416295206937454E-3</c:v>
                </c:pt>
                <c:pt idx="5">
                  <c:v>1.0128657768931027E-2</c:v>
                </c:pt>
                <c:pt idx="6">
                  <c:v>1.0777781409488835E-2</c:v>
                </c:pt>
                <c:pt idx="7">
                  <c:v>2.7553547283683557E-2</c:v>
                </c:pt>
                <c:pt idx="8">
                  <c:v>1.2184386378958965E-2</c:v>
                </c:pt>
                <c:pt idx="9">
                  <c:v>3.768625807047709E-2</c:v>
                </c:pt>
                <c:pt idx="10">
                  <c:v>5.4045186154607081E-3</c:v>
                </c:pt>
                <c:pt idx="11">
                  <c:v>2.0763146270838442E-2</c:v>
                </c:pt>
                <c:pt idx="12">
                  <c:v>6.7778845019230097E-3</c:v>
                </c:pt>
                <c:pt idx="13">
                  <c:v>1.7723506572975341E-2</c:v>
                </c:pt>
                <c:pt idx="14">
                  <c:v>4.439755653200151E-2</c:v>
                </c:pt>
                <c:pt idx="15">
                  <c:v>3.4292190816895518E-4</c:v>
                </c:pt>
              </c:numCache>
            </c:numRef>
          </c:val>
          <c:extLst>
            <c:ext xmlns:c16="http://schemas.microsoft.com/office/drawing/2014/chart" uri="{C3380CC4-5D6E-409C-BE32-E72D297353CC}">
              <c16:uniqueId val="{0000000A-3D47-4487-A110-420A6EE2965E}"/>
            </c:ext>
          </c:extLst>
        </c:ser>
        <c:ser>
          <c:idx val="5"/>
          <c:order val="5"/>
          <c:tx>
            <c:strRef>
              <c:f>'LCA results'!$I$25</c:f>
              <c:strCache>
                <c:ptCount val="1"/>
                <c:pt idx="0">
                  <c:v>Step6_Retail</c:v>
                </c:pt>
              </c:strCache>
            </c:strRef>
          </c:tx>
          <c:spPr>
            <a:solidFill>
              <a:schemeClr val="tx1"/>
            </a:solidFill>
            <a:ln>
              <a:noFill/>
            </a:ln>
            <a:effectLst/>
          </c:spPr>
          <c:invertIfNegative val="0"/>
          <c:cat>
            <c:strRef>
              <c:extLst>
                <c:ext xmlns:c15="http://schemas.microsoft.com/office/drawing/2012/chart" uri="{02D57815-91ED-43cb-92C2-25804820EDAC}">
                  <c15:fullRef>
                    <c15:sqref>'LCA results'!$B$26:$B$42</c15:sqref>
                  </c15:fullRef>
                </c:ext>
              </c:extLst>
              <c:f>'LCA results'!$B$27:$B$42</c:f>
              <c:strCache>
                <c:ptCount val="16"/>
                <c:pt idx="0">
                  <c:v>AC</c:v>
                </c:pt>
                <c:pt idx="1">
                  <c:v>CC</c:v>
                </c:pt>
                <c:pt idx="2">
                  <c:v>Ecotox</c:v>
                </c:pt>
                <c:pt idx="3">
                  <c:v>PM</c:v>
                </c:pt>
                <c:pt idx="4">
                  <c:v>EU_m</c:v>
                </c:pt>
                <c:pt idx="5">
                  <c:v>EU_f</c:v>
                </c:pt>
                <c:pt idx="6">
                  <c:v>EU_t</c:v>
                </c:pt>
                <c:pt idx="7">
                  <c:v>Htox_c</c:v>
                </c:pt>
                <c:pt idx="8">
                  <c:v>Htox_nc</c:v>
                </c:pt>
                <c:pt idx="9">
                  <c:v>IR</c:v>
                </c:pt>
                <c:pt idx="10">
                  <c:v>LU</c:v>
                </c:pt>
                <c:pt idx="11">
                  <c:v>OD</c:v>
                </c:pt>
                <c:pt idx="12">
                  <c:v>POF</c:v>
                </c:pt>
                <c:pt idx="13">
                  <c:v>RU_f</c:v>
                </c:pt>
                <c:pt idx="14">
                  <c:v>RU_mm</c:v>
                </c:pt>
                <c:pt idx="15">
                  <c:v>WU</c:v>
                </c:pt>
              </c:strCache>
            </c:strRef>
          </c:cat>
          <c:val>
            <c:numRef>
              <c:extLst>
                <c:ext xmlns:c15="http://schemas.microsoft.com/office/drawing/2012/chart" uri="{02D57815-91ED-43cb-92C2-25804820EDAC}">
                  <c15:fullRef>
                    <c15:sqref>'LCA results'!$I$26:$I$42</c15:sqref>
                  </c15:fullRef>
                </c:ext>
              </c:extLst>
              <c:f>'LCA results'!$I$27:$I$42</c:f>
              <c:numCache>
                <c:formatCode>0%</c:formatCode>
                <c:ptCount val="16"/>
                <c:pt idx="0">
                  <c:v>1.6191520730985387E-3</c:v>
                </c:pt>
                <c:pt idx="1">
                  <c:v>1.5420245576722296E-2</c:v>
                </c:pt>
                <c:pt idx="2">
                  <c:v>1.7277368116420202E-3</c:v>
                </c:pt>
                <c:pt idx="3">
                  <c:v>2.0273739877633479E-2</c:v>
                </c:pt>
                <c:pt idx="4">
                  <c:v>3.8323562066013912E-3</c:v>
                </c:pt>
                <c:pt idx="5">
                  <c:v>-7.0309054754985416E-4</c:v>
                </c:pt>
                <c:pt idx="6">
                  <c:v>2.0784536494051656E-3</c:v>
                </c:pt>
                <c:pt idx="7">
                  <c:v>1.7071909560747767E-2</c:v>
                </c:pt>
                <c:pt idx="8">
                  <c:v>2.1892036229124039E-2</c:v>
                </c:pt>
                <c:pt idx="9">
                  <c:v>1.6613089048452212E-2</c:v>
                </c:pt>
                <c:pt idx="10">
                  <c:v>4.0975154581630218E-3</c:v>
                </c:pt>
                <c:pt idx="11">
                  <c:v>2.4031844454266375E-2</c:v>
                </c:pt>
                <c:pt idx="12">
                  <c:v>9.3026920343146618E-3</c:v>
                </c:pt>
                <c:pt idx="13">
                  <c:v>1.7028548782831186E-2</c:v>
                </c:pt>
                <c:pt idx="14">
                  <c:v>1.1020578787663812E-2</c:v>
                </c:pt>
                <c:pt idx="15">
                  <c:v>3.1838455202544831E-4</c:v>
                </c:pt>
              </c:numCache>
            </c:numRef>
          </c:val>
          <c:extLst>
            <c:ext xmlns:c16="http://schemas.microsoft.com/office/drawing/2014/chart" uri="{C3380CC4-5D6E-409C-BE32-E72D297353CC}">
              <c16:uniqueId val="{0000000B-3D47-4487-A110-420A6EE2965E}"/>
            </c:ext>
          </c:extLst>
        </c:ser>
        <c:ser>
          <c:idx val="6"/>
          <c:order val="6"/>
          <c:tx>
            <c:strRef>
              <c:f>'LCA results'!$J$25</c:f>
              <c:strCache>
                <c:ptCount val="1"/>
                <c:pt idx="0">
                  <c:v>Step7_Consumption</c:v>
                </c:pt>
              </c:strCache>
            </c:strRef>
          </c:tx>
          <c:spPr>
            <a:solidFill>
              <a:srgbClr val="FFB3B3"/>
            </a:solidFill>
            <a:ln>
              <a:noFill/>
            </a:ln>
            <a:effectLst/>
          </c:spPr>
          <c:invertIfNegative val="0"/>
          <c:cat>
            <c:strRef>
              <c:extLst>
                <c:ext xmlns:c15="http://schemas.microsoft.com/office/drawing/2012/chart" uri="{02D57815-91ED-43cb-92C2-25804820EDAC}">
                  <c15:fullRef>
                    <c15:sqref>'LCA results'!$B$26:$B$42</c15:sqref>
                  </c15:fullRef>
                </c:ext>
              </c:extLst>
              <c:f>'LCA results'!$B$27:$B$42</c:f>
              <c:strCache>
                <c:ptCount val="16"/>
                <c:pt idx="0">
                  <c:v>AC</c:v>
                </c:pt>
                <c:pt idx="1">
                  <c:v>CC</c:v>
                </c:pt>
                <c:pt idx="2">
                  <c:v>Ecotox</c:v>
                </c:pt>
                <c:pt idx="3">
                  <c:v>PM</c:v>
                </c:pt>
                <c:pt idx="4">
                  <c:v>EU_m</c:v>
                </c:pt>
                <c:pt idx="5">
                  <c:v>EU_f</c:v>
                </c:pt>
                <c:pt idx="6">
                  <c:v>EU_t</c:v>
                </c:pt>
                <c:pt idx="7">
                  <c:v>Htox_c</c:v>
                </c:pt>
                <c:pt idx="8">
                  <c:v>Htox_nc</c:v>
                </c:pt>
                <c:pt idx="9">
                  <c:v>IR</c:v>
                </c:pt>
                <c:pt idx="10">
                  <c:v>LU</c:v>
                </c:pt>
                <c:pt idx="11">
                  <c:v>OD</c:v>
                </c:pt>
                <c:pt idx="12">
                  <c:v>POF</c:v>
                </c:pt>
                <c:pt idx="13">
                  <c:v>RU_f</c:v>
                </c:pt>
                <c:pt idx="14">
                  <c:v>RU_mm</c:v>
                </c:pt>
                <c:pt idx="15">
                  <c:v>WU</c:v>
                </c:pt>
              </c:strCache>
            </c:strRef>
          </c:cat>
          <c:val>
            <c:numRef>
              <c:extLst>
                <c:ext xmlns:c15="http://schemas.microsoft.com/office/drawing/2012/chart" uri="{02D57815-91ED-43cb-92C2-25804820EDAC}">
                  <c15:fullRef>
                    <c15:sqref>'LCA results'!$J$26:$J$42</c15:sqref>
                  </c15:fullRef>
                </c:ext>
              </c:extLst>
              <c:f>'LCA results'!$J$27:$J$42</c:f>
              <c:numCache>
                <c:formatCode>0%</c:formatCode>
                <c:ptCount val="16"/>
                <c:pt idx="0">
                  <c:v>3.6974154144782431E-2</c:v>
                </c:pt>
                <c:pt idx="1">
                  <c:v>0.16997306132864284</c:v>
                </c:pt>
                <c:pt idx="2">
                  <c:v>9.0421924811525972E-2</c:v>
                </c:pt>
                <c:pt idx="3">
                  <c:v>0.12186556822031876</c:v>
                </c:pt>
                <c:pt idx="4">
                  <c:v>3.7303958857772074E-2</c:v>
                </c:pt>
                <c:pt idx="5">
                  <c:v>3.5808350347129488E-2</c:v>
                </c:pt>
                <c:pt idx="6">
                  <c:v>4.1700485966615436E-2</c:v>
                </c:pt>
                <c:pt idx="7">
                  <c:v>0.14132565390160193</c:v>
                </c:pt>
                <c:pt idx="8">
                  <c:v>8.9034889723646191E-2</c:v>
                </c:pt>
                <c:pt idx="9">
                  <c:v>9.1464770595375083E-2</c:v>
                </c:pt>
                <c:pt idx="10">
                  <c:v>1.4471662924117942E-2</c:v>
                </c:pt>
                <c:pt idx="11">
                  <c:v>0.13913782256854587</c:v>
                </c:pt>
                <c:pt idx="12">
                  <c:v>5.7721106964773249E-2</c:v>
                </c:pt>
                <c:pt idx="13">
                  <c:v>0.12183467580038851</c:v>
                </c:pt>
                <c:pt idx="14">
                  <c:v>0.1948266719508448</c:v>
                </c:pt>
                <c:pt idx="15">
                  <c:v>1.6304972886415593E-3</c:v>
                </c:pt>
              </c:numCache>
            </c:numRef>
          </c:val>
          <c:extLst>
            <c:ext xmlns:c16="http://schemas.microsoft.com/office/drawing/2014/chart" uri="{C3380CC4-5D6E-409C-BE32-E72D297353CC}">
              <c16:uniqueId val="{0000000C-3D47-4487-A110-420A6EE2965E}"/>
            </c:ext>
          </c:extLst>
        </c:ser>
        <c:dLbls>
          <c:showLegendKey val="0"/>
          <c:showVal val="0"/>
          <c:showCatName val="0"/>
          <c:showSerName val="0"/>
          <c:showPercent val="0"/>
          <c:showBubbleSize val="0"/>
        </c:dLbls>
        <c:gapWidth val="150"/>
        <c:overlap val="100"/>
        <c:axId val="584786744"/>
        <c:axId val="584789368"/>
      </c:barChart>
      <c:catAx>
        <c:axId val="5847867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en-CH"/>
          </a:p>
        </c:txPr>
        <c:crossAx val="584789368"/>
        <c:crosses val="autoZero"/>
        <c:auto val="1"/>
        <c:lblAlgn val="ctr"/>
        <c:lblOffset val="100"/>
        <c:noMultiLvlLbl val="0"/>
      </c:catAx>
      <c:valAx>
        <c:axId val="584789368"/>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mn-lt"/>
                <a:ea typeface="+mn-ea"/>
                <a:cs typeface="+mn-cs"/>
              </a:defRPr>
            </a:pPr>
            <a:endParaRPr lang="en-CH"/>
          </a:p>
        </c:txPr>
        <c:crossAx val="584786744"/>
        <c:crosses val="autoZero"/>
        <c:crossBetween val="between"/>
        <c:majorUnit val="0.1"/>
      </c:valAx>
      <c:spPr>
        <a:noFill/>
        <a:ln>
          <a:noFill/>
        </a:ln>
        <a:effectLst/>
      </c:spPr>
    </c:plotArea>
    <c:legend>
      <c:legendPos val="b"/>
      <c:layout>
        <c:manualLayout>
          <c:xMode val="edge"/>
          <c:yMode val="edge"/>
          <c:x val="6.8268520085215195E-2"/>
          <c:y val="0.77356086573458216"/>
          <c:w val="0.88915004450289914"/>
          <c:h val="0.16420077229832444"/>
        </c:manualLayout>
      </c:layout>
      <c:overlay val="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en-CH"/>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CH"/>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percentStacked"/>
        <c:varyColors val="0"/>
        <c:ser>
          <c:idx val="0"/>
          <c:order val="0"/>
          <c:tx>
            <c:strRef>
              <c:f>'LCA results'!$D$45</c:f>
              <c:strCache>
                <c:ptCount val="1"/>
                <c:pt idx="0">
                  <c:v>Pre-harvest</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bg1"/>
                    </a:solidFill>
                    <a:latin typeface="+mn-lt"/>
                    <a:ea typeface="+mn-ea"/>
                    <a:cs typeface="+mn-cs"/>
                  </a:defRPr>
                </a:pPr>
                <a:endParaRPr lang="en-CH"/>
              </a:p>
            </c:tx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'LCA results'!$B$46:$B$62</c:f>
              <c:strCache>
                <c:ptCount val="17"/>
                <c:pt idx="1">
                  <c:v>AC</c:v>
                </c:pt>
                <c:pt idx="2">
                  <c:v>CC</c:v>
                </c:pt>
                <c:pt idx="3">
                  <c:v>Ecotox</c:v>
                </c:pt>
                <c:pt idx="4">
                  <c:v>PM</c:v>
                </c:pt>
                <c:pt idx="5">
                  <c:v>EU_m</c:v>
                </c:pt>
                <c:pt idx="6">
                  <c:v>EU_f</c:v>
                </c:pt>
                <c:pt idx="7">
                  <c:v>EU_t</c:v>
                </c:pt>
                <c:pt idx="8">
                  <c:v>Htox_c</c:v>
                </c:pt>
                <c:pt idx="9">
                  <c:v>Htox_nc</c:v>
                </c:pt>
                <c:pt idx="10">
                  <c:v>IR</c:v>
                </c:pt>
                <c:pt idx="11">
                  <c:v>LU</c:v>
                </c:pt>
                <c:pt idx="12">
                  <c:v>OD</c:v>
                </c:pt>
                <c:pt idx="13">
                  <c:v>POF</c:v>
                </c:pt>
                <c:pt idx="14">
                  <c:v>RU_f</c:v>
                </c:pt>
                <c:pt idx="15">
                  <c:v>RU_mm</c:v>
                </c:pt>
                <c:pt idx="16">
                  <c:v>WU</c:v>
                </c:pt>
              </c:strCache>
            </c:strRef>
          </c:cat>
          <c:val>
            <c:numRef>
              <c:f>'LCA results'!$D$46:$D$62</c:f>
              <c:numCache>
                <c:formatCode>0%</c:formatCode>
                <c:ptCount val="17"/>
                <c:pt idx="1">
                  <c:v>0.1682687113863664</c:v>
                </c:pt>
                <c:pt idx="2">
                  <c:v>0.13733668988465983</c:v>
                </c:pt>
                <c:pt idx="3">
                  <c:v>0.68075631942195292</c:v>
                </c:pt>
                <c:pt idx="4">
                  <c:v>0.23958133865432549</c:v>
                </c:pt>
                <c:pt idx="5">
                  <c:v>0.21792339947712874</c:v>
                </c:pt>
                <c:pt idx="6">
                  <c:v>0.45315270490834519</c:v>
                </c:pt>
                <c:pt idx="7">
                  <c:v>0.17590880869461681</c:v>
                </c:pt>
                <c:pt idx="8">
                  <c:v>0.20857773819454659</c:v>
                </c:pt>
                <c:pt idx="9">
                  <c:v>0.41326865609247004</c:v>
                </c:pt>
                <c:pt idx="10">
                  <c:v>0.18113829548975371</c:v>
                </c:pt>
                <c:pt idx="11">
                  <c:v>0.56531807341045026</c:v>
                </c:pt>
                <c:pt idx="12">
                  <c:v>0.3166352654011097</c:v>
                </c:pt>
                <c:pt idx="13">
                  <c:v>8.6630389719479214E-2</c:v>
                </c:pt>
                <c:pt idx="14">
                  <c:v>0.1680058791750213</c:v>
                </c:pt>
                <c:pt idx="15">
                  <c:v>0.40775400174745308</c:v>
                </c:pt>
                <c:pt idx="16">
                  <c:v>0.98801521220466371</c:v>
                </c:pt>
              </c:numCache>
            </c:numRef>
          </c:val>
          <c:extLst xmlns:c15="http://schemas.microsoft.com/office/drawing/2012/chart">
            <c:ext xmlns:c16="http://schemas.microsoft.com/office/drawing/2014/chart" uri="{C3380CC4-5D6E-409C-BE32-E72D297353CC}">
              <c16:uniqueId val="{00000002-CEAC-4386-85CC-A6D3440A0F1B}"/>
            </c:ext>
          </c:extLst>
        </c:ser>
        <c:ser>
          <c:idx val="1"/>
          <c:order val="1"/>
          <c:tx>
            <c:strRef>
              <c:f>'LCA results'!$E$45</c:f>
              <c:strCache>
                <c:ptCount val="1"/>
                <c:pt idx="0">
                  <c:v>Post-harvest</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bg1"/>
                    </a:solidFill>
                    <a:latin typeface="+mn-lt"/>
                    <a:ea typeface="+mn-ea"/>
                    <a:cs typeface="+mn-cs"/>
                  </a:defRPr>
                </a:pPr>
                <a:endParaRPr lang="en-CH"/>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'LCA results'!$B$46:$B$62</c:f>
              <c:strCache>
                <c:ptCount val="17"/>
                <c:pt idx="1">
                  <c:v>AC</c:v>
                </c:pt>
                <c:pt idx="2">
                  <c:v>CC</c:v>
                </c:pt>
                <c:pt idx="3">
                  <c:v>Ecotox</c:v>
                </c:pt>
                <c:pt idx="4">
                  <c:v>PM</c:v>
                </c:pt>
                <c:pt idx="5">
                  <c:v>EU_m</c:v>
                </c:pt>
                <c:pt idx="6">
                  <c:v>EU_f</c:v>
                </c:pt>
                <c:pt idx="7">
                  <c:v>EU_t</c:v>
                </c:pt>
                <c:pt idx="8">
                  <c:v>Htox_c</c:v>
                </c:pt>
                <c:pt idx="9">
                  <c:v>Htox_nc</c:v>
                </c:pt>
                <c:pt idx="10">
                  <c:v>IR</c:v>
                </c:pt>
                <c:pt idx="11">
                  <c:v>LU</c:v>
                </c:pt>
                <c:pt idx="12">
                  <c:v>OD</c:v>
                </c:pt>
                <c:pt idx="13">
                  <c:v>POF</c:v>
                </c:pt>
                <c:pt idx="14">
                  <c:v>RU_f</c:v>
                </c:pt>
                <c:pt idx="15">
                  <c:v>RU_mm</c:v>
                </c:pt>
                <c:pt idx="16">
                  <c:v>WU</c:v>
                </c:pt>
              </c:strCache>
            </c:strRef>
          </c:cat>
          <c:val>
            <c:numRef>
              <c:f>'LCA results'!$E$46:$E$62</c:f>
              <c:numCache>
                <c:formatCode>0%</c:formatCode>
                <c:ptCount val="17"/>
                <c:pt idx="1">
                  <c:v>0.83173128861363355</c:v>
                </c:pt>
                <c:pt idx="2">
                  <c:v>0.86266331011534025</c:v>
                </c:pt>
                <c:pt idx="3">
                  <c:v>0.31924368057804703</c:v>
                </c:pt>
                <c:pt idx="4">
                  <c:v>0.76041866134567448</c:v>
                </c:pt>
                <c:pt idx="5">
                  <c:v>0.7820766005228712</c:v>
                </c:pt>
                <c:pt idx="6">
                  <c:v>0.54684729509165486</c:v>
                </c:pt>
                <c:pt idx="7">
                  <c:v>0.82409119130538322</c:v>
                </c:pt>
                <c:pt idx="8">
                  <c:v>0.79142226180545339</c:v>
                </c:pt>
                <c:pt idx="9">
                  <c:v>0.5867313439075299</c:v>
                </c:pt>
                <c:pt idx="10">
                  <c:v>0.81886170451024642</c:v>
                </c:pt>
                <c:pt idx="11">
                  <c:v>0.43468192658954963</c:v>
                </c:pt>
                <c:pt idx="12">
                  <c:v>0.68336473459889036</c:v>
                </c:pt>
                <c:pt idx="13">
                  <c:v>0.91336961028052077</c:v>
                </c:pt>
                <c:pt idx="14">
                  <c:v>0.8319941208249787</c:v>
                </c:pt>
                <c:pt idx="15">
                  <c:v>0.59224599825254687</c:v>
                </c:pt>
                <c:pt idx="16">
                  <c:v>1.1984787795336387E-2</c:v>
                </c:pt>
              </c:numCache>
            </c:numRef>
          </c:val>
          <c:extLst>
            <c:ext xmlns:c16="http://schemas.microsoft.com/office/drawing/2014/chart" uri="{C3380CC4-5D6E-409C-BE32-E72D297353CC}">
              <c16:uniqueId val="{00000005-CEAC-4386-85CC-A6D3440A0F1B}"/>
            </c:ext>
          </c:extLst>
        </c:ser>
        <c:dLbls>
          <c:dLblPos val="ctr"/>
          <c:showLegendKey val="0"/>
          <c:showVal val="1"/>
          <c:showCatName val="0"/>
          <c:showSerName val="0"/>
          <c:showPercent val="0"/>
          <c:showBubbleSize val="0"/>
        </c:dLbls>
        <c:gapWidth val="50"/>
        <c:overlap val="100"/>
        <c:axId val="394529472"/>
        <c:axId val="394524880"/>
        <c:extLst/>
      </c:barChart>
      <c:catAx>
        <c:axId val="3945294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CH"/>
          </a:p>
        </c:txPr>
        <c:crossAx val="394524880"/>
        <c:crosses val="autoZero"/>
        <c:auto val="1"/>
        <c:lblAlgn val="ctr"/>
        <c:lblOffset val="100"/>
        <c:noMultiLvlLbl val="0"/>
      </c:catAx>
      <c:valAx>
        <c:axId val="39452488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CH"/>
          </a:p>
        </c:txPr>
        <c:crossAx val="39452947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CH"/>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CH"/>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5079779794634333"/>
          <c:y val="9.7689498729900515E-2"/>
          <c:w val="0.52668289403010748"/>
          <c:h val="0.59118311801403833"/>
        </c:manualLayout>
      </c:layout>
      <c:pieChart>
        <c:varyColors val="1"/>
        <c:ser>
          <c:idx val="0"/>
          <c:order val="0"/>
          <c:tx>
            <c:strRef>
              <c:f>'LCA results_weighting'!$G$29</c:f>
              <c:strCache>
                <c:ptCount val="1"/>
                <c:pt idx="0">
                  <c:v>% </c:v>
                </c:pt>
              </c:strCache>
            </c:strRef>
          </c:tx>
          <c:dPt>
            <c:idx val="0"/>
            <c:bubble3D val="0"/>
            <c:spPr>
              <a:solidFill>
                <a:schemeClr val="accent4">
                  <a:lumMod val="20000"/>
                  <a:lumOff val="80000"/>
                </a:schemeClr>
              </a:solidFill>
              <a:ln>
                <a:noFill/>
              </a:ln>
              <a:effectLst/>
            </c:spPr>
            <c:extLst>
              <c:ext xmlns:c16="http://schemas.microsoft.com/office/drawing/2014/chart" uri="{C3380CC4-5D6E-409C-BE32-E72D297353CC}">
                <c16:uniqueId val="{00000001-8AC8-45DC-8314-406419C0E86E}"/>
              </c:ext>
            </c:extLst>
          </c:dPt>
          <c:dPt>
            <c:idx val="1"/>
            <c:bubble3D val="0"/>
            <c:spPr>
              <a:solidFill>
                <a:srgbClr val="C00000"/>
              </a:solidFill>
              <a:ln>
                <a:noFill/>
              </a:ln>
              <a:effectLst/>
            </c:spPr>
            <c:extLst>
              <c:ext xmlns:c16="http://schemas.microsoft.com/office/drawing/2014/chart" uri="{C3380CC4-5D6E-409C-BE32-E72D297353CC}">
                <c16:uniqueId val="{00000003-8AC8-45DC-8314-406419C0E86E}"/>
              </c:ext>
            </c:extLst>
          </c:dPt>
          <c:dPt>
            <c:idx val="2"/>
            <c:bubble3D val="0"/>
            <c:spPr>
              <a:solidFill>
                <a:schemeClr val="bg2">
                  <a:lumMod val="75000"/>
                </a:schemeClr>
              </a:solidFill>
              <a:ln>
                <a:noFill/>
              </a:ln>
              <a:effectLst/>
            </c:spPr>
            <c:extLst>
              <c:ext xmlns:c16="http://schemas.microsoft.com/office/drawing/2014/chart" uri="{C3380CC4-5D6E-409C-BE32-E72D297353CC}">
                <c16:uniqueId val="{00000005-8AC8-45DC-8314-406419C0E86E}"/>
              </c:ext>
            </c:extLst>
          </c:dPt>
          <c:dPt>
            <c:idx val="3"/>
            <c:bubble3D val="0"/>
            <c:spPr>
              <a:solidFill>
                <a:schemeClr val="accent4"/>
              </a:solidFill>
              <a:ln>
                <a:noFill/>
              </a:ln>
              <a:effectLst/>
            </c:spPr>
            <c:extLst>
              <c:ext xmlns:c16="http://schemas.microsoft.com/office/drawing/2014/chart" uri="{C3380CC4-5D6E-409C-BE32-E72D297353CC}">
                <c16:uniqueId val="{00000007-8AC8-45DC-8314-406419C0E86E}"/>
              </c:ext>
            </c:extLst>
          </c:dPt>
          <c:dPt>
            <c:idx val="4"/>
            <c:bubble3D val="0"/>
            <c:spPr>
              <a:solidFill>
                <a:schemeClr val="accent1">
                  <a:lumMod val="50000"/>
                </a:schemeClr>
              </a:solidFill>
              <a:ln>
                <a:noFill/>
              </a:ln>
              <a:effectLst/>
            </c:spPr>
            <c:extLst>
              <c:ext xmlns:c16="http://schemas.microsoft.com/office/drawing/2014/chart" uri="{C3380CC4-5D6E-409C-BE32-E72D297353CC}">
                <c16:uniqueId val="{00000009-8AC8-45DC-8314-406419C0E86E}"/>
              </c:ext>
            </c:extLst>
          </c:dPt>
          <c:dPt>
            <c:idx val="5"/>
            <c:bubble3D val="0"/>
            <c:spPr>
              <a:solidFill>
                <a:schemeClr val="accent6"/>
              </a:solidFill>
              <a:ln>
                <a:noFill/>
              </a:ln>
              <a:effectLst/>
            </c:spPr>
            <c:extLst>
              <c:ext xmlns:c16="http://schemas.microsoft.com/office/drawing/2014/chart" uri="{C3380CC4-5D6E-409C-BE32-E72D297353CC}">
                <c16:uniqueId val="{0000000B-8AC8-45DC-8314-406419C0E86E}"/>
              </c:ext>
            </c:extLst>
          </c:dPt>
          <c:dPt>
            <c:idx val="6"/>
            <c:bubble3D val="0"/>
            <c:spPr>
              <a:solidFill>
                <a:schemeClr val="accent4">
                  <a:lumMod val="50000"/>
                </a:schemeClr>
              </a:solidFill>
              <a:ln>
                <a:noFill/>
              </a:ln>
              <a:effectLst/>
            </c:spPr>
            <c:extLst>
              <c:ext xmlns:c16="http://schemas.microsoft.com/office/drawing/2014/chart" uri="{C3380CC4-5D6E-409C-BE32-E72D297353CC}">
                <c16:uniqueId val="{0000000D-8AC8-45DC-8314-406419C0E86E}"/>
              </c:ext>
            </c:extLst>
          </c:dPt>
          <c:dPt>
            <c:idx val="7"/>
            <c:bubble3D val="0"/>
            <c:spPr>
              <a:solidFill>
                <a:srgbClr val="B889DB"/>
              </a:solidFill>
              <a:ln>
                <a:noFill/>
              </a:ln>
              <a:effectLst/>
            </c:spPr>
            <c:extLst>
              <c:ext xmlns:c16="http://schemas.microsoft.com/office/drawing/2014/chart" uri="{C3380CC4-5D6E-409C-BE32-E72D297353CC}">
                <c16:uniqueId val="{0000000F-8AC8-45DC-8314-406419C0E86E}"/>
              </c:ext>
            </c:extLst>
          </c:dPt>
          <c:dPt>
            <c:idx val="8"/>
            <c:bubble3D val="0"/>
            <c:spPr>
              <a:solidFill>
                <a:schemeClr val="accent3">
                  <a:lumMod val="60000"/>
                </a:schemeClr>
              </a:solidFill>
              <a:ln>
                <a:noFill/>
              </a:ln>
              <a:effectLst/>
            </c:spPr>
            <c:extLst>
              <c:ext xmlns:c16="http://schemas.microsoft.com/office/drawing/2014/chart" uri="{C3380CC4-5D6E-409C-BE32-E72D297353CC}">
                <c16:uniqueId val="{00000011-8AC8-45DC-8314-406419C0E86E}"/>
              </c:ext>
            </c:extLst>
          </c:dPt>
          <c:dPt>
            <c:idx val="9"/>
            <c:bubble3D val="0"/>
            <c:spPr>
              <a:solidFill>
                <a:schemeClr val="bg2"/>
              </a:solidFill>
              <a:ln>
                <a:noFill/>
              </a:ln>
              <a:effectLst/>
            </c:spPr>
            <c:extLst>
              <c:ext xmlns:c16="http://schemas.microsoft.com/office/drawing/2014/chart" uri="{C3380CC4-5D6E-409C-BE32-E72D297353CC}">
                <c16:uniqueId val="{00000013-8AC8-45DC-8314-406419C0E86E}"/>
              </c:ext>
            </c:extLst>
          </c:dPt>
          <c:dPt>
            <c:idx val="10"/>
            <c:bubble3D val="0"/>
            <c:spPr>
              <a:solidFill>
                <a:schemeClr val="accent6">
                  <a:lumMod val="75000"/>
                </a:schemeClr>
              </a:solidFill>
              <a:ln>
                <a:noFill/>
              </a:ln>
              <a:effectLst/>
            </c:spPr>
            <c:extLst>
              <c:ext xmlns:c16="http://schemas.microsoft.com/office/drawing/2014/chart" uri="{C3380CC4-5D6E-409C-BE32-E72D297353CC}">
                <c16:uniqueId val="{00000015-8AC8-45DC-8314-406419C0E86E}"/>
              </c:ext>
            </c:extLst>
          </c:dPt>
          <c:dPt>
            <c:idx val="11"/>
            <c:bubble3D val="0"/>
            <c:spPr>
              <a:solidFill>
                <a:schemeClr val="accent2"/>
              </a:solidFill>
              <a:ln>
                <a:noFill/>
              </a:ln>
              <a:effectLst/>
            </c:spPr>
            <c:extLst>
              <c:ext xmlns:c16="http://schemas.microsoft.com/office/drawing/2014/chart" uri="{C3380CC4-5D6E-409C-BE32-E72D297353CC}">
                <c16:uniqueId val="{00000017-8AC8-45DC-8314-406419C0E86E}"/>
              </c:ext>
            </c:extLst>
          </c:dPt>
          <c:dPt>
            <c:idx val="12"/>
            <c:bubble3D val="0"/>
            <c:spPr>
              <a:solidFill>
                <a:schemeClr val="accent1">
                  <a:lumMod val="40000"/>
                  <a:lumOff val="60000"/>
                </a:schemeClr>
              </a:solidFill>
              <a:ln>
                <a:noFill/>
              </a:ln>
              <a:effectLst/>
            </c:spPr>
            <c:extLst>
              <c:ext xmlns:c16="http://schemas.microsoft.com/office/drawing/2014/chart" uri="{C3380CC4-5D6E-409C-BE32-E72D297353CC}">
                <c16:uniqueId val="{00000019-8AC8-45DC-8314-406419C0E86E}"/>
              </c:ext>
            </c:extLst>
          </c:dPt>
          <c:dPt>
            <c:idx val="13"/>
            <c:bubble3D val="0"/>
            <c:spPr>
              <a:solidFill>
                <a:srgbClr val="FFB3B3"/>
              </a:solidFill>
              <a:ln>
                <a:noFill/>
              </a:ln>
              <a:effectLst/>
            </c:spPr>
            <c:extLst>
              <c:ext xmlns:c16="http://schemas.microsoft.com/office/drawing/2014/chart" uri="{C3380CC4-5D6E-409C-BE32-E72D297353CC}">
                <c16:uniqueId val="{0000001B-8AC8-45DC-8314-406419C0E86E}"/>
              </c:ext>
            </c:extLst>
          </c:dPt>
          <c:dPt>
            <c:idx val="14"/>
            <c:bubble3D val="0"/>
            <c:spPr>
              <a:solidFill>
                <a:schemeClr val="tx1"/>
              </a:solidFill>
              <a:ln>
                <a:noFill/>
              </a:ln>
              <a:effectLst/>
            </c:spPr>
            <c:extLst>
              <c:ext xmlns:c16="http://schemas.microsoft.com/office/drawing/2014/chart" uri="{C3380CC4-5D6E-409C-BE32-E72D297353CC}">
                <c16:uniqueId val="{0000001D-8AC8-45DC-8314-406419C0E86E}"/>
              </c:ext>
            </c:extLst>
          </c:dPt>
          <c:dPt>
            <c:idx val="15"/>
            <c:bubble3D val="0"/>
            <c:spPr>
              <a:solidFill>
                <a:schemeClr val="accent1"/>
              </a:solidFill>
              <a:ln>
                <a:noFill/>
              </a:ln>
              <a:effectLst/>
            </c:spPr>
            <c:extLst>
              <c:ext xmlns:c16="http://schemas.microsoft.com/office/drawing/2014/chart" uri="{C3380CC4-5D6E-409C-BE32-E72D297353CC}">
                <c16:uniqueId val="{0000001F-8AC8-45DC-8314-406419C0E86E}"/>
              </c:ext>
            </c:extLst>
          </c:dPt>
          <c:cat>
            <c:strRef>
              <c:f>'LCA results_weighting'!$B$30:$B$45</c:f>
              <c:strCache>
                <c:ptCount val="16"/>
                <c:pt idx="0">
                  <c:v>AC</c:v>
                </c:pt>
                <c:pt idx="1">
                  <c:v>CC</c:v>
                </c:pt>
                <c:pt idx="2">
                  <c:v>Ecotox</c:v>
                </c:pt>
                <c:pt idx="3">
                  <c:v>PM</c:v>
                </c:pt>
                <c:pt idx="4">
                  <c:v>EU_m</c:v>
                </c:pt>
                <c:pt idx="5">
                  <c:v>EU_f</c:v>
                </c:pt>
                <c:pt idx="6">
                  <c:v>EU_t</c:v>
                </c:pt>
                <c:pt idx="7">
                  <c:v>Htox_c</c:v>
                </c:pt>
                <c:pt idx="8">
                  <c:v>HTox_nc</c:v>
                </c:pt>
                <c:pt idx="9">
                  <c:v>IR</c:v>
                </c:pt>
                <c:pt idx="10">
                  <c:v>LU</c:v>
                </c:pt>
                <c:pt idx="11">
                  <c:v>OD</c:v>
                </c:pt>
                <c:pt idx="12">
                  <c:v>POF</c:v>
                </c:pt>
                <c:pt idx="13">
                  <c:v>RU_f</c:v>
                </c:pt>
                <c:pt idx="14">
                  <c:v>RU_mm</c:v>
                </c:pt>
                <c:pt idx="15">
                  <c:v>WU</c:v>
                </c:pt>
              </c:strCache>
            </c:strRef>
          </c:cat>
          <c:val>
            <c:numRef>
              <c:f>'LCA results_weighting'!$G$30:$G$45</c:f>
              <c:numCache>
                <c:formatCode>0%</c:formatCode>
                <c:ptCount val="16"/>
                <c:pt idx="0">
                  <c:v>7.4027990421190348E-2</c:v>
                </c:pt>
                <c:pt idx="1">
                  <c:v>0.13991797578629958</c:v>
                </c:pt>
                <c:pt idx="2">
                  <c:v>2.7507422098730062E-2</c:v>
                </c:pt>
                <c:pt idx="3">
                  <c:v>4.1060362061682641E-2</c:v>
                </c:pt>
                <c:pt idx="4">
                  <c:v>2.7183988278011252E-2</c:v>
                </c:pt>
                <c:pt idx="5">
                  <c:v>5.174297313812342E-3</c:v>
                </c:pt>
                <c:pt idx="6">
                  <c:v>3.7607762478921357E-2</c:v>
                </c:pt>
                <c:pt idx="7">
                  <c:v>5.0192141186213976E-3</c:v>
                </c:pt>
                <c:pt idx="8">
                  <c:v>1.4197134524616828E-2</c:v>
                </c:pt>
                <c:pt idx="9">
                  <c:v>6.1677334984087148E-4</c:v>
                </c:pt>
                <c:pt idx="10">
                  <c:v>1.9100012584827426E-2</c:v>
                </c:pt>
                <c:pt idx="11">
                  <c:v>1.1173756251411956E-4</c:v>
                </c:pt>
                <c:pt idx="12">
                  <c:v>5.293230506403248E-2</c:v>
                </c:pt>
                <c:pt idx="13">
                  <c:v>7.9782133064581789E-2</c:v>
                </c:pt>
                <c:pt idx="14">
                  <c:v>3.3575891242025348E-2</c:v>
                </c:pt>
                <c:pt idx="15">
                  <c:v>0.44218500005029227</c:v>
                </c:pt>
              </c:numCache>
            </c:numRef>
          </c:val>
          <c:extLst>
            <c:ext xmlns:c16="http://schemas.microsoft.com/office/drawing/2014/chart" uri="{C3380CC4-5D6E-409C-BE32-E72D297353CC}">
              <c16:uniqueId val="{00000020-8AC8-45DC-8314-406419C0E86E}"/>
            </c:ext>
          </c:extLst>
        </c:ser>
        <c:dLbls>
          <c:showLegendKey val="0"/>
          <c:showVal val="0"/>
          <c:showCatName val="0"/>
          <c:showSerName val="0"/>
          <c:showPercent val="0"/>
          <c:showBubbleSize val="0"/>
          <c:showLeaderLines val="1"/>
        </c:dLbls>
        <c:firstSliceAng val="0"/>
      </c:pieChart>
      <c:spPr>
        <a:noFill/>
        <a:ln>
          <a:noFill/>
        </a:ln>
        <a:effectLst/>
      </c:spPr>
    </c:plotArea>
    <c:legend>
      <c:legendPos val="b"/>
      <c:layout>
        <c:manualLayout>
          <c:xMode val="edge"/>
          <c:yMode val="edge"/>
          <c:x val="7.8568323678774379E-2"/>
          <c:y val="0.72386677756620721"/>
          <c:w val="0.88455896547603252"/>
          <c:h val="0.24805210263833541"/>
        </c:manualLayout>
      </c:layout>
      <c:overlay val="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en-CH"/>
        </a:p>
      </c:txPr>
    </c:legend>
    <c:plotVisOnly val="1"/>
    <c:dispBlanksAs val="gap"/>
    <c:showDLblsOverMax val="0"/>
  </c:chart>
  <c:spPr>
    <a:solidFill>
      <a:sysClr val="window" lastClr="FFFFFF"/>
    </a:solidFill>
    <a:ln w="9525" cap="flat" cmpd="sng" algn="ctr">
      <a:noFill/>
      <a:round/>
    </a:ln>
    <a:effectLst/>
  </c:spPr>
  <c:txPr>
    <a:bodyPr/>
    <a:lstStyle/>
    <a:p>
      <a:pPr>
        <a:defRPr>
          <a:solidFill>
            <a:sysClr val="windowText" lastClr="000000"/>
          </a:solidFill>
        </a:defRPr>
      </a:pPr>
      <a:endParaRPr lang="en-CH"/>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percentStacked"/>
        <c:varyColors val="0"/>
        <c:ser>
          <c:idx val="0"/>
          <c:order val="0"/>
          <c:tx>
            <c:strRef>
              <c:f>'LCA results_weighting'!$R$29</c:f>
              <c:strCache>
                <c:ptCount val="1"/>
                <c:pt idx="0">
                  <c:v>Pre-harvest</c:v>
                </c:pt>
              </c:strCache>
            </c:strRef>
          </c:tx>
          <c:spPr>
            <a:solidFill>
              <a:schemeClr val="accent6"/>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n-CH"/>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'LCA results_weighting'!$R$31</c:f>
              <c:numCache>
                <c:formatCode>0%</c:formatCode>
                <c:ptCount val="1"/>
                <c:pt idx="0">
                  <c:v>0.56154435976897399</c:v>
                </c:pt>
              </c:numCache>
            </c:numRef>
          </c:val>
          <c:extLst>
            <c:ext xmlns:c16="http://schemas.microsoft.com/office/drawing/2014/chart" uri="{C3380CC4-5D6E-409C-BE32-E72D297353CC}">
              <c16:uniqueId val="{00000000-E90D-498D-9ABD-D51CAC0C53D2}"/>
            </c:ext>
          </c:extLst>
        </c:ser>
        <c:ser>
          <c:idx val="1"/>
          <c:order val="1"/>
          <c:tx>
            <c:strRef>
              <c:f>'LCA results_weighting'!$S$29</c:f>
              <c:strCache>
                <c:ptCount val="1"/>
                <c:pt idx="0">
                  <c:v>Post-harvest</c:v>
                </c:pt>
              </c:strCache>
            </c:strRef>
          </c:tx>
          <c:spPr>
            <a:solidFill>
              <a:schemeClr val="accent5"/>
            </a:solidFill>
            <a:ln>
              <a:noFill/>
            </a:ln>
            <a:effectLst/>
          </c:spPr>
          <c:invertIfNegative val="0"/>
          <c:dPt>
            <c:idx val="0"/>
            <c:invertIfNegative val="0"/>
            <c:bubble3D val="0"/>
            <c:spPr>
              <a:solidFill>
                <a:schemeClr val="accent5"/>
              </a:solidFill>
              <a:ln>
                <a:noFill/>
              </a:ln>
              <a:effectLst/>
            </c:spPr>
            <c:extLst>
              <c:ext xmlns:c16="http://schemas.microsoft.com/office/drawing/2014/chart" uri="{C3380CC4-5D6E-409C-BE32-E72D297353CC}">
                <c16:uniqueId val="{00000002-E90D-498D-9ABD-D51CAC0C53D2}"/>
              </c:ext>
            </c:extLst>
          </c:dPt>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n-CH"/>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'LCA results_weighting'!$S$31</c:f>
              <c:numCache>
                <c:formatCode>0%</c:formatCode>
                <c:ptCount val="1"/>
                <c:pt idx="0">
                  <c:v>0.43845564023102601</c:v>
                </c:pt>
              </c:numCache>
            </c:numRef>
          </c:val>
          <c:extLst>
            <c:ext xmlns:c16="http://schemas.microsoft.com/office/drawing/2014/chart" uri="{C3380CC4-5D6E-409C-BE32-E72D297353CC}">
              <c16:uniqueId val="{00000003-E90D-498D-9ABD-D51CAC0C53D2}"/>
            </c:ext>
          </c:extLst>
        </c:ser>
        <c:dLbls>
          <c:dLblPos val="ctr"/>
          <c:showLegendKey val="0"/>
          <c:showVal val="1"/>
          <c:showCatName val="0"/>
          <c:showSerName val="0"/>
          <c:showPercent val="0"/>
          <c:showBubbleSize val="0"/>
        </c:dLbls>
        <c:gapWidth val="150"/>
        <c:overlap val="100"/>
        <c:axId val="216844152"/>
        <c:axId val="216844480"/>
      </c:barChart>
      <c:catAx>
        <c:axId val="216844152"/>
        <c:scaling>
          <c:orientation val="minMax"/>
        </c:scaling>
        <c:delete val="1"/>
        <c:axPos val="b"/>
        <c:numFmt formatCode="General" sourceLinked="1"/>
        <c:majorTickMark val="none"/>
        <c:minorTickMark val="none"/>
        <c:tickLblPos val="nextTo"/>
        <c:crossAx val="216844480"/>
        <c:crosses val="autoZero"/>
        <c:auto val="1"/>
        <c:lblAlgn val="ctr"/>
        <c:lblOffset val="100"/>
        <c:noMultiLvlLbl val="0"/>
      </c:catAx>
      <c:valAx>
        <c:axId val="21684448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CH"/>
          </a:p>
        </c:txPr>
        <c:crossAx val="2168441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CH"/>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CH"/>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8844417698126529"/>
          <c:y val="0.14222552924333071"/>
          <c:w val="0.35864941920641297"/>
          <c:h val="0.54777756001634315"/>
        </c:manualLayout>
      </c:layout>
      <c:pieChart>
        <c:varyColors val="1"/>
        <c:ser>
          <c:idx val="0"/>
          <c:order val="0"/>
          <c:dPt>
            <c:idx val="0"/>
            <c:bubble3D val="0"/>
            <c:spPr>
              <a:solidFill>
                <a:schemeClr val="accent6"/>
              </a:solidFill>
              <a:ln>
                <a:noFill/>
              </a:ln>
              <a:effectLst/>
            </c:spPr>
            <c:extLst>
              <c:ext xmlns:c16="http://schemas.microsoft.com/office/drawing/2014/chart" uri="{C3380CC4-5D6E-409C-BE32-E72D297353CC}">
                <c16:uniqueId val="{00000001-94B8-4F95-ADA2-8A8C19FD23BC}"/>
              </c:ext>
            </c:extLst>
          </c:dPt>
          <c:dPt>
            <c:idx val="1"/>
            <c:bubble3D val="0"/>
            <c:spPr>
              <a:solidFill>
                <a:schemeClr val="accent1">
                  <a:lumMod val="20000"/>
                  <a:lumOff val="80000"/>
                </a:schemeClr>
              </a:solidFill>
              <a:ln>
                <a:noFill/>
              </a:ln>
              <a:effectLst/>
            </c:spPr>
            <c:extLst>
              <c:ext xmlns:c16="http://schemas.microsoft.com/office/drawing/2014/chart" uri="{C3380CC4-5D6E-409C-BE32-E72D297353CC}">
                <c16:uniqueId val="{00000003-94B8-4F95-ADA2-8A8C19FD23BC}"/>
              </c:ext>
            </c:extLst>
          </c:dPt>
          <c:dPt>
            <c:idx val="2"/>
            <c:bubble3D val="0"/>
            <c:spPr>
              <a:solidFill>
                <a:schemeClr val="accent1">
                  <a:lumMod val="40000"/>
                  <a:lumOff val="60000"/>
                </a:schemeClr>
              </a:solidFill>
              <a:ln>
                <a:noFill/>
              </a:ln>
              <a:effectLst/>
            </c:spPr>
            <c:extLst>
              <c:ext xmlns:c16="http://schemas.microsoft.com/office/drawing/2014/chart" uri="{C3380CC4-5D6E-409C-BE32-E72D297353CC}">
                <c16:uniqueId val="{00000005-94B8-4F95-ADA2-8A8C19FD23BC}"/>
              </c:ext>
            </c:extLst>
          </c:dPt>
          <c:dPt>
            <c:idx val="3"/>
            <c:bubble3D val="0"/>
            <c:spPr>
              <a:solidFill>
                <a:schemeClr val="accent1">
                  <a:lumMod val="60000"/>
                  <a:lumOff val="40000"/>
                </a:schemeClr>
              </a:solidFill>
              <a:ln>
                <a:noFill/>
              </a:ln>
              <a:effectLst/>
            </c:spPr>
            <c:extLst>
              <c:ext xmlns:c16="http://schemas.microsoft.com/office/drawing/2014/chart" uri="{C3380CC4-5D6E-409C-BE32-E72D297353CC}">
                <c16:uniqueId val="{00000007-94B8-4F95-ADA2-8A8C19FD23BC}"/>
              </c:ext>
            </c:extLst>
          </c:dPt>
          <c:dPt>
            <c:idx val="4"/>
            <c:bubble3D val="0"/>
            <c:spPr>
              <a:solidFill>
                <a:schemeClr val="accent1"/>
              </a:solidFill>
              <a:ln>
                <a:noFill/>
              </a:ln>
              <a:effectLst/>
            </c:spPr>
            <c:extLst>
              <c:ext xmlns:c16="http://schemas.microsoft.com/office/drawing/2014/chart" uri="{C3380CC4-5D6E-409C-BE32-E72D297353CC}">
                <c16:uniqueId val="{00000009-94B8-4F95-ADA2-8A8C19FD23BC}"/>
              </c:ext>
            </c:extLst>
          </c:dPt>
          <c:dPt>
            <c:idx val="5"/>
            <c:bubble3D val="0"/>
            <c:spPr>
              <a:solidFill>
                <a:schemeClr val="accent1">
                  <a:lumMod val="75000"/>
                </a:schemeClr>
              </a:solidFill>
              <a:ln>
                <a:noFill/>
              </a:ln>
              <a:effectLst/>
            </c:spPr>
            <c:extLst>
              <c:ext xmlns:c16="http://schemas.microsoft.com/office/drawing/2014/chart" uri="{C3380CC4-5D6E-409C-BE32-E72D297353CC}">
                <c16:uniqueId val="{0000000B-94B8-4F95-ADA2-8A8C19FD23BC}"/>
              </c:ext>
            </c:extLst>
          </c:dPt>
          <c:dPt>
            <c:idx val="6"/>
            <c:bubble3D val="0"/>
            <c:spPr>
              <a:solidFill>
                <a:schemeClr val="accent5">
                  <a:lumMod val="50000"/>
                </a:schemeClr>
              </a:solidFill>
              <a:ln>
                <a:noFill/>
              </a:ln>
              <a:effectLst/>
            </c:spPr>
            <c:extLst>
              <c:ext xmlns:c16="http://schemas.microsoft.com/office/drawing/2014/chart" uri="{C3380CC4-5D6E-409C-BE32-E72D297353CC}">
                <c16:uniqueId val="{0000000D-94B8-4F95-ADA2-8A8C19FD23BC}"/>
              </c:ext>
            </c:extLst>
          </c:dPt>
          <c:cat>
            <c:strRef>
              <c:f>'LCA results_weighting'!$I$29:$O$29</c:f>
              <c:strCache>
                <c:ptCount val="7"/>
                <c:pt idx="0">
                  <c:v>1_Cultivation</c:v>
                </c:pt>
                <c:pt idx="1">
                  <c:v>2_Packaging &amp; Palletization</c:v>
                </c:pt>
                <c:pt idx="2">
                  <c:v>3_Pre-cooling</c:v>
                </c:pt>
                <c:pt idx="3">
                  <c:v>4_Overseas transport</c:v>
                </c:pt>
                <c:pt idx="4">
                  <c:v>5_Storage</c:v>
                </c:pt>
                <c:pt idx="5">
                  <c:v>6_Retail</c:v>
                </c:pt>
                <c:pt idx="6">
                  <c:v>7_Consumption</c:v>
                </c:pt>
              </c:strCache>
            </c:strRef>
          </c:cat>
          <c:val>
            <c:numRef>
              <c:f>'LCA results_weighting'!$I$46:$O$46</c:f>
              <c:numCache>
                <c:formatCode>0.00E+00</c:formatCode>
                <c:ptCount val="7"/>
                <c:pt idx="0">
                  <c:v>8.8451638942907938E-5</c:v>
                </c:pt>
                <c:pt idx="1">
                  <c:v>2.1669982690774018E-5</c:v>
                </c:pt>
                <c:pt idx="2">
                  <c:v>5.11131883856406E-6</c:v>
                </c:pt>
                <c:pt idx="3">
                  <c:v>3.0605928408820873E-5</c:v>
                </c:pt>
                <c:pt idx="4">
                  <c:v>1.3866663481269894E-6</c:v>
                </c:pt>
                <c:pt idx="5">
                  <c:v>9.7432379001532901E-7</c:v>
                </c:pt>
                <c:pt idx="6">
                  <c:v>9.3151037867532494E-6</c:v>
                </c:pt>
              </c:numCache>
            </c:numRef>
          </c:val>
          <c:extLst>
            <c:ext xmlns:c16="http://schemas.microsoft.com/office/drawing/2014/chart" uri="{C3380CC4-5D6E-409C-BE32-E72D297353CC}">
              <c16:uniqueId val="{0000000E-94B8-4F95-ADA2-8A8C19FD23BC}"/>
            </c:ext>
          </c:extLst>
        </c:ser>
        <c:dLbls>
          <c:showLegendKey val="0"/>
          <c:showVal val="0"/>
          <c:showCatName val="0"/>
          <c:showSerName val="0"/>
          <c:showPercent val="0"/>
          <c:showBubbleSize val="0"/>
          <c:showLeaderLines val="1"/>
        </c:dLbls>
        <c:firstSliceAng val="0"/>
      </c:pieChart>
      <c:spPr>
        <a:noFill/>
        <a:ln>
          <a:noFill/>
        </a:ln>
        <a:effectLst/>
      </c:spPr>
    </c:plotArea>
    <c:legend>
      <c:legendPos val="b"/>
      <c:layout>
        <c:manualLayout>
          <c:xMode val="edge"/>
          <c:yMode val="edge"/>
          <c:x val="9.0976749769950974E-2"/>
          <c:y val="0.70473919008247987"/>
          <c:w val="0.81833510840632073"/>
          <c:h val="0.22354339687014607"/>
        </c:manualLayout>
      </c:layout>
      <c:overlay val="0"/>
      <c:spPr>
        <a:noFill/>
        <a:ln>
          <a:noFill/>
        </a:ln>
        <a:effectLst/>
      </c:spPr>
      <c:txPr>
        <a:bodyPr rot="0" spcFirstLastPara="1" vertOverflow="ellipsis" vert="horz" wrap="square" anchor="ctr" anchorCtr="1"/>
        <a:lstStyle/>
        <a:p>
          <a:pPr rtl="0">
            <a:defRPr sz="1050" b="0" i="0" u="none" strike="noStrike" kern="1200" baseline="0">
              <a:solidFill>
                <a:sysClr val="windowText" lastClr="000000"/>
              </a:solidFill>
              <a:latin typeface="+mn-lt"/>
              <a:ea typeface="+mn-ea"/>
              <a:cs typeface="+mn-cs"/>
            </a:defRPr>
          </a:pPr>
          <a:endParaRPr lang="en-CH"/>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defRPr>
      </a:pPr>
      <a:endParaRPr lang="en-CH"/>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1</xdr:col>
      <xdr:colOff>38100</xdr:colOff>
      <xdr:row>0</xdr:row>
      <xdr:rowOff>133349</xdr:rowOff>
    </xdr:from>
    <xdr:to>
      <xdr:col>2</xdr:col>
      <xdr:colOff>8258175</xdr:colOff>
      <xdr:row>10</xdr:row>
      <xdr:rowOff>47624</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371475" y="133349"/>
          <a:ext cx="11239500" cy="19145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chemeClr val="dk1"/>
              </a:solidFill>
              <a:effectLst/>
              <a:latin typeface="+mn-lt"/>
              <a:ea typeface="+mn-ea"/>
              <a:cs typeface="+mn-cs"/>
            </a:rPr>
            <a:t>Ecological hotspots of the journey of a South</a:t>
          </a:r>
          <a:r>
            <a:rPr lang="en-US" sz="1600" b="1" baseline="0">
              <a:solidFill>
                <a:schemeClr val="dk1"/>
              </a:solidFill>
              <a:effectLst/>
              <a:latin typeface="+mn-lt"/>
              <a:ea typeface="+mn-ea"/>
              <a:cs typeface="+mn-cs"/>
            </a:rPr>
            <a:t> African citrus fruit</a:t>
          </a:r>
          <a:endParaRPr lang="en-US" sz="1600" b="1">
            <a:solidFill>
              <a:schemeClr val="dk1"/>
            </a:solidFill>
            <a:effectLst/>
            <a:latin typeface="+mn-lt"/>
            <a:ea typeface="+mn-ea"/>
            <a:cs typeface="+mn-cs"/>
          </a:endParaRPr>
        </a:p>
        <a:p>
          <a:r>
            <a:rPr lang="en-US" sz="1600">
              <a:solidFill>
                <a:schemeClr val="dk1"/>
              </a:solidFill>
              <a:effectLst/>
              <a:latin typeface="+mn-lt"/>
              <a:ea typeface="+mn-ea"/>
              <a:cs typeface="+mn-cs"/>
            </a:rPr>
            <a:t> </a:t>
          </a:r>
        </a:p>
        <a:p>
          <a:r>
            <a:rPr lang="en-US" sz="1100" b="1">
              <a:solidFill>
                <a:schemeClr val="dk1"/>
              </a:solidFill>
              <a:effectLst/>
              <a:latin typeface="+mn-lt"/>
              <a:ea typeface="+mn-ea"/>
              <a:cs typeface="+mn-cs"/>
            </a:rPr>
            <a:t>Eleonora Crenna</a:t>
          </a:r>
          <a:r>
            <a:rPr lang="en-US" sz="1100" b="1" baseline="30000">
              <a:solidFill>
                <a:schemeClr val="dk1"/>
              </a:solidFill>
              <a:effectLst/>
              <a:latin typeface="+mn-lt"/>
              <a:ea typeface="+mn-ea"/>
              <a:cs typeface="+mn-cs"/>
            </a:rPr>
            <a:t>1,2</a:t>
          </a:r>
          <a:r>
            <a:rPr lang="en-US" sz="1100" b="1">
              <a:solidFill>
                <a:schemeClr val="dk1"/>
              </a:solidFill>
              <a:effectLst/>
              <a:latin typeface="+mn-lt"/>
              <a:ea typeface="+mn-ea"/>
              <a:cs typeface="+mn-cs"/>
            </a:rPr>
            <a:t>, Roland Hischier</a:t>
          </a:r>
          <a:r>
            <a:rPr lang="en-US" sz="1100" b="1" baseline="30000">
              <a:solidFill>
                <a:schemeClr val="dk1"/>
              </a:solidFill>
              <a:effectLst/>
              <a:latin typeface="+mn-lt"/>
              <a:ea typeface="+mn-ea"/>
              <a:cs typeface="+mn-cs"/>
            </a:rPr>
            <a:t>1</a:t>
          </a:r>
          <a:r>
            <a:rPr lang="en-US" sz="1100" b="1">
              <a:solidFill>
                <a:schemeClr val="dk1"/>
              </a:solidFill>
              <a:effectLst/>
              <a:latin typeface="+mn-lt"/>
              <a:ea typeface="+mn-ea"/>
              <a:cs typeface="+mn-cs"/>
            </a:rPr>
            <a:t>, Thijs Defraeye</a:t>
          </a:r>
          <a:r>
            <a:rPr lang="en-US" sz="1100" b="1" baseline="30000">
              <a:solidFill>
                <a:schemeClr val="dk1"/>
              </a:solidFill>
              <a:effectLst/>
              <a:latin typeface="+mn-lt"/>
              <a:ea typeface="+mn-ea"/>
              <a:cs typeface="+mn-cs"/>
            </a:rPr>
            <a:t>3,4</a:t>
          </a:r>
          <a:r>
            <a:rPr lang="en-US" sz="1100" b="1">
              <a:solidFill>
                <a:schemeClr val="dk1"/>
              </a:solidFill>
              <a:effectLst/>
              <a:latin typeface="+mn-lt"/>
              <a:ea typeface="+mn-ea"/>
              <a:cs typeface="+mn-cs"/>
            </a:rPr>
            <a:t>, Daniel Onwude</a:t>
          </a:r>
          <a:r>
            <a:rPr lang="en-US" sz="1100" b="1" baseline="30000">
              <a:solidFill>
                <a:schemeClr val="dk1"/>
              </a:solidFill>
              <a:effectLst/>
              <a:latin typeface="+mn-lt"/>
              <a:ea typeface="+mn-ea"/>
              <a:cs typeface="+mn-cs"/>
            </a:rPr>
            <a:t>3*</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aseline="30000">
              <a:solidFill>
                <a:schemeClr val="dk1"/>
              </a:solidFill>
              <a:effectLst/>
              <a:latin typeface="+mn-lt"/>
              <a:ea typeface="+mn-ea"/>
              <a:cs typeface="+mn-cs"/>
            </a:rPr>
            <a:t>1</a:t>
          </a:r>
          <a:r>
            <a:rPr lang="en-US" sz="1100">
              <a:solidFill>
                <a:schemeClr val="dk1"/>
              </a:solidFill>
              <a:effectLst/>
              <a:latin typeface="+mn-lt"/>
              <a:ea typeface="+mn-ea"/>
              <a:cs typeface="+mn-cs"/>
            </a:rPr>
            <a:t> Technology and Society Laboratory, Empa, Lerchenfeldstrasse 5, 9014 St. Gallen</a:t>
          </a:r>
          <a:r>
            <a:rPr lang="en-US" sz="1100" baseline="30000">
              <a:solidFill>
                <a:schemeClr val="dk1"/>
              </a:solidFill>
              <a:effectLst/>
              <a:latin typeface="+mn-lt"/>
              <a:ea typeface="+mn-ea"/>
              <a:cs typeface="+mn-cs"/>
            </a:rPr>
            <a:t>, </a:t>
          </a:r>
          <a:r>
            <a:rPr lang="en-US" sz="1100">
              <a:solidFill>
                <a:schemeClr val="dk1"/>
              </a:solidFill>
              <a:effectLst/>
              <a:latin typeface="+mn-lt"/>
              <a:ea typeface="+mn-ea"/>
              <a:cs typeface="+mn-cs"/>
            </a:rPr>
            <a:t>Switzerland</a:t>
          </a:r>
        </a:p>
        <a:p>
          <a:r>
            <a:rPr lang="en-US" sz="1100" baseline="30000">
              <a:solidFill>
                <a:schemeClr val="dk1"/>
              </a:solidFill>
              <a:effectLst/>
              <a:latin typeface="+mn-lt"/>
              <a:ea typeface="+mn-ea"/>
              <a:cs typeface="+mn-cs"/>
            </a:rPr>
            <a:t>2</a:t>
          </a:r>
          <a:r>
            <a:rPr lang="en-US" sz="1100">
              <a:solidFill>
                <a:schemeClr val="dk1"/>
              </a:solidFill>
              <a:effectLst/>
              <a:latin typeface="+mn-lt"/>
              <a:ea typeface="+mn-ea"/>
              <a:cs typeface="+mn-cs"/>
            </a:rPr>
            <a:t> Institute</a:t>
          </a:r>
          <a:r>
            <a:rPr lang="en-US" sz="1100" baseline="0">
              <a:solidFill>
                <a:schemeClr val="dk1"/>
              </a:solidFill>
              <a:effectLst/>
              <a:latin typeface="+mn-lt"/>
              <a:ea typeface="+mn-ea"/>
              <a:cs typeface="+mn-cs"/>
            </a:rPr>
            <a:t> of Sustainable Energy, HES-SO Valais-Wallis, Rue de l'Industrie 21, 1950 Sion, Switzerland</a:t>
          </a:r>
        </a:p>
        <a:p>
          <a:r>
            <a:rPr lang="en-US" sz="1100" baseline="30000">
              <a:solidFill>
                <a:schemeClr val="dk1"/>
              </a:solidFill>
              <a:effectLst/>
              <a:latin typeface="+mn-lt"/>
              <a:ea typeface="+mn-ea"/>
              <a:cs typeface="+mn-cs"/>
            </a:rPr>
            <a:t>3</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Biomimetic Membranes and Textiles Laboratory, Empa, Lerchenfeldstrasse 5, 9014 St. Gallen, Switzerland</a:t>
          </a:r>
        </a:p>
        <a:p>
          <a:r>
            <a:rPr lang="en-US" sz="1100" baseline="30000">
              <a:solidFill>
                <a:schemeClr val="dk1"/>
              </a:solidFill>
              <a:effectLst/>
              <a:latin typeface="+mn-lt"/>
              <a:ea typeface="+mn-ea"/>
              <a:cs typeface="+mn-cs"/>
            </a:rPr>
            <a:t>4</a:t>
          </a:r>
          <a:r>
            <a:rPr lang="en-US" sz="1100">
              <a:solidFill>
                <a:schemeClr val="dk1"/>
              </a:solidFill>
              <a:effectLst/>
              <a:latin typeface="+mn-lt"/>
              <a:ea typeface="+mn-ea"/>
              <a:cs typeface="+mn-cs"/>
            </a:rPr>
            <a:t> Food Quality and Design, Wageningen University &amp; Research, 17, 6700 AA Wageningen, the Netherlands</a:t>
          </a:r>
        </a:p>
        <a:p>
          <a:pPr marL="0" marR="0" lvl="0" indent="0" defTabSz="914400" eaLnBrk="0" fontAlgn="auto" latinLnBrk="0" hangingPunct="0">
            <a:lnSpc>
              <a:spcPct val="100000"/>
            </a:lnSpc>
            <a:spcBef>
              <a:spcPts val="0"/>
            </a:spcBef>
            <a:spcAft>
              <a:spcPts val="0"/>
            </a:spcAft>
            <a:buClrTx/>
            <a:buSzTx/>
            <a:buFontTx/>
            <a:buNone/>
            <a:tabLst/>
            <a:defRPr/>
          </a:pPr>
          <a:r>
            <a:rPr lang="en-GB" sz="1100" b="1">
              <a:solidFill>
                <a:schemeClr val="dk1"/>
              </a:solidFill>
              <a:effectLst/>
              <a:latin typeface="+mn-lt"/>
              <a:ea typeface="+mn-ea"/>
              <a:cs typeface="+mn-cs"/>
            </a:rPr>
            <a:t> </a:t>
          </a:r>
        </a:p>
        <a:p>
          <a:pPr marL="0" marR="0" lvl="0" indent="0" defTabSz="914400" eaLnBrk="0" fontAlgn="auto" latinLnBrk="0" hangingPunct="0">
            <a:lnSpc>
              <a:spcPct val="100000"/>
            </a:lnSpc>
            <a:spcBef>
              <a:spcPts val="0"/>
            </a:spcBef>
            <a:spcAft>
              <a:spcPts val="0"/>
            </a:spcAft>
            <a:buClrTx/>
            <a:buSzTx/>
            <a:buFontTx/>
            <a:buNone/>
            <a:tabLst/>
            <a:defRPr/>
          </a:pPr>
          <a:r>
            <a:rPr lang="en-US" sz="1100" i="1">
              <a:solidFill>
                <a:schemeClr val="dk1"/>
              </a:solidFill>
              <a:effectLst/>
              <a:latin typeface="+mn-lt"/>
              <a:ea typeface="+mn-ea"/>
              <a:cs typeface="+mn-cs"/>
            </a:rPr>
            <a:t>* Corresponding author email: </a:t>
          </a:r>
          <a:r>
            <a:rPr lang="en-US" sz="1100" i="1" u="sng">
              <a:solidFill>
                <a:schemeClr val="dk1"/>
              </a:solidFill>
              <a:effectLst/>
              <a:latin typeface="+mn-lt"/>
              <a:ea typeface="+mn-ea"/>
              <a:cs typeface="+mn-cs"/>
              <a:hlinkClick xmlns:r="http://schemas.openxmlformats.org/officeDocument/2006/relationships" r:id=""/>
            </a:rPr>
            <a:t>daniel.onwude@empa.ch</a:t>
          </a:r>
          <a:r>
            <a:rPr lang="en-US" sz="1100" i="1" u="sng">
              <a:solidFill>
                <a:schemeClr val="dk1"/>
              </a:solidFill>
              <a:effectLst/>
              <a:latin typeface="+mn-lt"/>
              <a:ea typeface="+mn-ea"/>
              <a:cs typeface="+mn-cs"/>
            </a:rPr>
            <a:t>   </a:t>
          </a:r>
          <a:endParaRPr lang="en-CH" sz="1100">
            <a:solidFill>
              <a:schemeClr val="dk1"/>
            </a:solidFill>
            <a:effectLst/>
            <a:latin typeface="+mn-lt"/>
            <a:ea typeface="+mn-ea"/>
            <a:cs typeface="+mn-cs"/>
          </a:endParaRPr>
        </a:p>
        <a:p>
          <a:pPr eaLnBrk="0" hangingPunct="0"/>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64823</xdr:colOff>
      <xdr:row>25</xdr:row>
      <xdr:rowOff>237949</xdr:rowOff>
    </xdr:from>
    <xdr:to>
      <xdr:col>18</xdr:col>
      <xdr:colOff>314854</xdr:colOff>
      <xdr:row>31</xdr:row>
      <xdr:rowOff>934156</xdr:rowOff>
    </xdr:to>
    <xdr:graphicFrame macro="">
      <xdr:nvGraphicFramePr>
        <xdr:cNvPr id="5" name="Chart 4">
          <a:extLst>
            <a:ext uri="{FF2B5EF4-FFF2-40B4-BE49-F238E27FC236}">
              <a16:creationId xmlns:a16="http://schemas.microsoft.com/office/drawing/2014/main" id="{00000000-0008-0000-0A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7267222</xdr:colOff>
      <xdr:row>26</xdr:row>
      <xdr:rowOff>359833</xdr:rowOff>
    </xdr:from>
    <xdr:to>
      <xdr:col>11</xdr:col>
      <xdr:colOff>585611</xdr:colOff>
      <xdr:row>31</xdr:row>
      <xdr:rowOff>860777</xdr:rowOff>
    </xdr:to>
    <xdr:cxnSp macro="">
      <xdr:nvCxnSpPr>
        <xdr:cNvPr id="6" name="Straight Arrow Connector 5">
          <a:extLst>
            <a:ext uri="{FF2B5EF4-FFF2-40B4-BE49-F238E27FC236}">
              <a16:creationId xmlns:a16="http://schemas.microsoft.com/office/drawing/2014/main" id="{00000000-0008-0000-0A00-000006000000}"/>
            </a:ext>
          </a:extLst>
        </xdr:cNvPr>
        <xdr:cNvCxnSpPr/>
      </xdr:nvCxnSpPr>
      <xdr:spPr>
        <a:xfrm flipV="1">
          <a:off x="16545278" y="8572500"/>
          <a:ext cx="4833055" cy="213783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c:userShapes xmlns:c="http://schemas.openxmlformats.org/drawingml/2006/chart">
  <cdr:relSizeAnchor xmlns:cdr="http://schemas.openxmlformats.org/drawingml/2006/chartDrawing">
    <cdr:from>
      <cdr:x>0.71631</cdr:x>
      <cdr:y>0.6331</cdr:y>
    </cdr:from>
    <cdr:to>
      <cdr:x>0.72798</cdr:x>
      <cdr:y>0.66204</cdr:y>
    </cdr:to>
    <cdr:sp macro="" textlink="">
      <cdr:nvSpPr>
        <cdr:cNvPr id="2" name="Oval 1"/>
        <cdr:cNvSpPr/>
      </cdr:nvSpPr>
      <cdr:spPr>
        <a:xfrm xmlns:a="http://schemas.openxmlformats.org/drawingml/2006/main">
          <a:off x="2805906" y="1736725"/>
          <a:ext cx="45719" cy="79375"/>
        </a:xfrm>
        <a:prstGeom xmlns:a="http://schemas.openxmlformats.org/drawingml/2006/main" prst="ellipse">
          <a:avLst/>
        </a:prstGeom>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userShapes>
</file>

<file path=xl/drawings/drawing4.xml><?xml version="1.0" encoding="utf-8"?>
<xdr:wsDr xmlns:xdr="http://schemas.openxmlformats.org/drawingml/2006/spreadsheetDrawing" xmlns:a="http://schemas.openxmlformats.org/drawingml/2006/main">
  <xdr:twoCellAnchor>
    <xdr:from>
      <xdr:col>10</xdr:col>
      <xdr:colOff>1504042</xdr:colOff>
      <xdr:row>24</xdr:row>
      <xdr:rowOff>23131</xdr:rowOff>
    </xdr:from>
    <xdr:to>
      <xdr:col>16</xdr:col>
      <xdr:colOff>503465</xdr:colOff>
      <xdr:row>42</xdr:row>
      <xdr:rowOff>142421</xdr:rowOff>
    </xdr:to>
    <xdr:graphicFrame macro="">
      <xdr:nvGraphicFramePr>
        <xdr:cNvPr id="2" name="Chart 1">
          <a:extLst>
            <a:ext uri="{FF2B5EF4-FFF2-40B4-BE49-F238E27FC236}">
              <a16:creationId xmlns:a16="http://schemas.microsoft.com/office/drawing/2014/main" id="{91CA3332-A286-4B37-AC11-01D0FBA1CA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391432</xdr:colOff>
      <xdr:row>46</xdr:row>
      <xdr:rowOff>40821</xdr:rowOff>
    </xdr:from>
    <xdr:to>
      <xdr:col>8</xdr:col>
      <xdr:colOff>1268185</xdr:colOff>
      <xdr:row>61</xdr:row>
      <xdr:rowOff>145936</xdr:rowOff>
    </xdr:to>
    <xdr:graphicFrame macro="">
      <xdr:nvGraphicFramePr>
        <xdr:cNvPr id="5" name="Chart 4">
          <a:extLst>
            <a:ext uri="{FF2B5EF4-FFF2-40B4-BE49-F238E27FC236}">
              <a16:creationId xmlns:a16="http://schemas.microsoft.com/office/drawing/2014/main" id="{01D3DFC9-9DED-4825-8D99-6665564459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3</xdr:col>
      <xdr:colOff>857250</xdr:colOff>
      <xdr:row>46</xdr:row>
      <xdr:rowOff>168275</xdr:rowOff>
    </xdr:from>
    <xdr:to>
      <xdr:col>7</xdr:col>
      <xdr:colOff>368300</xdr:colOff>
      <xdr:row>60</xdr:row>
      <xdr:rowOff>66675</xdr:rowOff>
    </xdr:to>
    <xdr:graphicFrame macro="">
      <xdr:nvGraphicFramePr>
        <xdr:cNvPr id="2" name="Chart 1">
          <a:extLst>
            <a:ext uri="{FF2B5EF4-FFF2-40B4-BE49-F238E27FC236}">
              <a16:creationId xmlns:a16="http://schemas.microsoft.com/office/drawing/2014/main" id="{CFCBD63B-8180-4C69-BB04-C681D0680C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606425</xdr:colOff>
      <xdr:row>34</xdr:row>
      <xdr:rowOff>6350</xdr:rowOff>
    </xdr:from>
    <xdr:to>
      <xdr:col>21</xdr:col>
      <xdr:colOff>209550</xdr:colOff>
      <xdr:row>45</xdr:row>
      <xdr:rowOff>88900</xdr:rowOff>
    </xdr:to>
    <xdr:graphicFrame macro="">
      <xdr:nvGraphicFramePr>
        <xdr:cNvPr id="3" name="Chart 2">
          <a:extLst>
            <a:ext uri="{FF2B5EF4-FFF2-40B4-BE49-F238E27FC236}">
              <a16:creationId xmlns:a16="http://schemas.microsoft.com/office/drawing/2014/main" id="{2A9E2535-3F98-45CF-B0F3-106B72956D8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360360</xdr:colOff>
      <xdr:row>46</xdr:row>
      <xdr:rowOff>61382</xdr:rowOff>
    </xdr:from>
    <xdr:to>
      <xdr:col>11</xdr:col>
      <xdr:colOff>854605</xdr:colOff>
      <xdr:row>60</xdr:row>
      <xdr:rowOff>182562</xdr:rowOff>
    </xdr:to>
    <xdr:graphicFrame macro="">
      <xdr:nvGraphicFramePr>
        <xdr:cNvPr id="4" name="Chart 3">
          <a:extLst>
            <a:ext uri="{FF2B5EF4-FFF2-40B4-BE49-F238E27FC236}">
              <a16:creationId xmlns:a16="http://schemas.microsoft.com/office/drawing/2014/main" id="{1075C7C3-3063-41DD-A128-9B5A33D218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4</xdr:colOff>
      <xdr:row>47</xdr:row>
      <xdr:rowOff>10584</xdr:rowOff>
    </xdr:from>
    <xdr:to>
      <xdr:col>4</xdr:col>
      <xdr:colOff>381004</xdr:colOff>
      <xdr:row>48</xdr:row>
      <xdr:rowOff>179917</xdr:rowOff>
    </xdr:to>
    <xdr:sp macro="" textlink="">
      <xdr:nvSpPr>
        <xdr:cNvPr id="5" name="TextBox 4">
          <a:extLst>
            <a:ext uri="{FF2B5EF4-FFF2-40B4-BE49-F238E27FC236}">
              <a16:creationId xmlns:a16="http://schemas.microsoft.com/office/drawing/2014/main" id="{27F1B979-DF10-45F2-8C71-255D30DF3F5E}"/>
            </a:ext>
          </a:extLst>
        </xdr:cNvPr>
        <xdr:cNvSpPr txBox="1"/>
      </xdr:nvSpPr>
      <xdr:spPr>
        <a:xfrm>
          <a:off x="5438779" y="10199159"/>
          <a:ext cx="381000" cy="3757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H" sz="1600" b="1"/>
            <a:t>a)</a:t>
          </a:r>
        </a:p>
      </xdr:txBody>
    </xdr:sp>
    <xdr:clientData/>
  </xdr:twoCellAnchor>
  <xdr:twoCellAnchor>
    <xdr:from>
      <xdr:col>7</xdr:col>
      <xdr:colOff>427560</xdr:colOff>
      <xdr:row>47</xdr:row>
      <xdr:rowOff>14817</xdr:rowOff>
    </xdr:from>
    <xdr:to>
      <xdr:col>7</xdr:col>
      <xdr:colOff>808560</xdr:colOff>
      <xdr:row>48</xdr:row>
      <xdr:rowOff>184150</xdr:rowOff>
    </xdr:to>
    <xdr:sp macro="" textlink="">
      <xdr:nvSpPr>
        <xdr:cNvPr id="6" name="TextBox 5">
          <a:extLst>
            <a:ext uri="{FF2B5EF4-FFF2-40B4-BE49-F238E27FC236}">
              <a16:creationId xmlns:a16="http://schemas.microsoft.com/office/drawing/2014/main" id="{AA3E04C3-F287-448F-BF27-077813B844DA}"/>
            </a:ext>
          </a:extLst>
        </xdr:cNvPr>
        <xdr:cNvSpPr txBox="1"/>
      </xdr:nvSpPr>
      <xdr:spPr>
        <a:xfrm>
          <a:off x="8269810" y="10203392"/>
          <a:ext cx="381000" cy="3693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H" sz="1600" b="1"/>
            <a:t>b)</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crel\Documents\Eleonora_12-05-2020\01%20Si_DRIVE_2019\02%20Literature%20&amp;%20LCI%20for%20baseline%20LIB\03%20LIB%20paper%202020\02%20Review%2002_minor\LIB_paper_2020_Supplementary_2_rev2_correc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crel\Documents\Eleonora_12-05-2020\04%20PACKME_2021%20(internal%20project)\Citrus_LCI_220819.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dha\Brightway_projects\Energy_storage_LCA\LIB_paper_2020_Supplementary_2_rev2_correc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
      <sheetName val="NMC111"/>
      <sheetName val="NMC811"/>
      <sheetName val="NCA"/>
      <sheetName val="parameters"/>
      <sheetName val="Ref."/>
      <sheetName val="info solvents"/>
      <sheetName val="Alternative LCI_cobalt sulfate"/>
      <sheetName val="Alternative LCI_separator"/>
      <sheetName val="Results LCIA_EF"/>
      <sheetName val="Results LCIA_cf. literature"/>
      <sheetName val="cf. cobalt sulfate"/>
      <sheetName val="cobalt ecoinvent 3.7"/>
      <sheetName val="cf. separators"/>
      <sheetName val="cf. Si coating"/>
      <sheetName val="cf. energy"/>
      <sheetName val="contribution_pack"/>
      <sheetName val="contribution_cell"/>
      <sheetName val="contribution_cathode"/>
      <sheetName val="contribution_active material"/>
    </sheetNames>
    <sheetDataSet>
      <sheetData sheetId="0" refreshError="1"/>
      <sheetData sheetId="1">
        <row r="149">
          <cell r="J149">
            <v>1</v>
          </cell>
        </row>
        <row r="160">
          <cell r="J160">
            <v>0.20508905852417303</v>
          </cell>
        </row>
        <row r="177">
          <cell r="J177">
            <v>5.6000000000000008E-3</v>
          </cell>
        </row>
        <row r="178">
          <cell r="J178">
            <v>25.747936213553864</v>
          </cell>
        </row>
        <row r="183">
          <cell r="J183">
            <v>1</v>
          </cell>
        </row>
        <row r="185">
          <cell r="J185">
            <v>0.33078880407124683</v>
          </cell>
        </row>
        <row r="201">
          <cell r="J201">
            <v>6.0529411764705943E-3</v>
          </cell>
        </row>
        <row r="206">
          <cell r="J206">
            <v>6.3823847075606169E-4</v>
          </cell>
        </row>
        <row r="240">
          <cell r="J240">
            <v>0.70939780390202034</v>
          </cell>
        </row>
        <row r="241">
          <cell r="J241">
            <v>0.44298591783325714</v>
          </cell>
        </row>
        <row r="250">
          <cell r="J250">
            <v>1.4187956078040406E-3</v>
          </cell>
        </row>
      </sheetData>
      <sheetData sheetId="2" refreshError="1"/>
      <sheetData sheetId="3" refreshError="1"/>
      <sheetData sheetId="4">
        <row r="2">
          <cell r="E2">
            <v>0.19700000000000001</v>
          </cell>
        </row>
        <row r="4">
          <cell r="E4">
            <v>0.16700000000000001</v>
          </cell>
        </row>
        <row r="5">
          <cell r="E5">
            <v>0.20930476868327402</v>
          </cell>
        </row>
        <row r="7">
          <cell r="E7">
            <v>0.16804182857142858</v>
          </cell>
        </row>
        <row r="8">
          <cell r="E8">
            <v>0.22401071783909449</v>
          </cell>
        </row>
        <row r="10">
          <cell r="E10">
            <v>0.16242857142857142</v>
          </cell>
        </row>
        <row r="11">
          <cell r="E11">
            <v>0.95</v>
          </cell>
        </row>
        <row r="12">
          <cell r="E12">
            <v>0.27777800000000002</v>
          </cell>
        </row>
        <row r="13">
          <cell r="E13">
            <v>1055.056</v>
          </cell>
        </row>
        <row r="14">
          <cell r="E14">
            <v>3.7850000000000001</v>
          </cell>
        </row>
      </sheetData>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supply chain &amp; choices"/>
      <sheetName val="refs."/>
      <sheetName val="1. cultivation"/>
      <sheetName val="water"/>
      <sheetName val="FAOSTAT_citrus"/>
      <sheetName val="input list ecoinvent"/>
      <sheetName val="2. packaging &amp; palletization"/>
      <sheetName val="MNBU0072637"/>
      <sheetName val="FAO 2010 + 2021"/>
      <sheetName val="3. pre-cooling"/>
      <sheetName val="4. oversea transport"/>
      <sheetName val="5. storage"/>
      <sheetName val="6. retail"/>
      <sheetName val="7. consumption (use phase)"/>
      <sheetName val="LCI parameters"/>
      <sheetName val="COMSOL all paramete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row r="37">
          <cell r="C37">
            <v>15.5</v>
          </cell>
        </row>
        <row r="45">
          <cell r="C45">
            <v>6.6839319969814875E-3</v>
          </cell>
        </row>
      </sheetData>
      <sheetData sheetId="1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
      <sheetName val="NMC111"/>
      <sheetName val="NMC811"/>
      <sheetName val="NCA"/>
      <sheetName val="parameters"/>
      <sheetName val="Ref."/>
      <sheetName val="info solvents"/>
      <sheetName val="Alternative LCI_cobalt sulfate"/>
      <sheetName val="Alternative LCI_separator"/>
      <sheetName val="Results LCIA_EF"/>
      <sheetName val="Results LCIA_cf. literature"/>
      <sheetName val="cf. cobalt sulfate"/>
      <sheetName val="cobalt ecoinvent 3.7"/>
      <sheetName val="cf. separators"/>
      <sheetName val="cf. Si coating"/>
      <sheetName val="cf. energy"/>
      <sheetName val="contribution_pack"/>
      <sheetName val="contribution_cell"/>
      <sheetName val="contribution_cathode"/>
      <sheetName val="contribution_active material"/>
    </sheetNames>
    <sheetDataSet>
      <sheetData sheetId="0" refreshError="1"/>
      <sheetData sheetId="1" refreshError="1"/>
      <sheetData sheetId="2" refreshError="1"/>
      <sheetData sheetId="3" refreshError="1"/>
      <sheetData sheetId="4">
        <row r="5">
          <cell r="E5">
            <v>0.20930476868327402</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9.bin"/><Relationship Id="rId1" Type="http://schemas.openxmlformats.org/officeDocument/2006/relationships/hyperlink" Target="https://www.123cargo.eu/en/map" TargetMode="Externa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10.bin"/><Relationship Id="rId1" Type="http://schemas.openxmlformats.org/officeDocument/2006/relationships/hyperlink" Target="https://eplca.jrc.ec.europa.eu/EFtransition.html" TargetMode="External"/></Relationships>
</file>

<file path=xl/worksheets/_rels/sheet1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2:C26"/>
  <sheetViews>
    <sheetView tabSelected="1" topLeftCell="A5" workbookViewId="0">
      <selection activeCell="C22" sqref="C22"/>
    </sheetView>
  </sheetViews>
  <sheetFormatPr defaultRowHeight="16" x14ac:dyDescent="0.45"/>
  <cols>
    <col min="1" max="1" width="4.7265625" customWidth="1"/>
    <col min="2" max="2" width="43.1796875" bestFit="1" customWidth="1"/>
    <col min="3" max="3" width="118.36328125" customWidth="1"/>
  </cols>
  <sheetData>
    <row r="12" spans="2:3" ht="17.5" x14ac:dyDescent="0.45">
      <c r="B12" s="42" t="s">
        <v>145</v>
      </c>
      <c r="C12" s="42" t="s">
        <v>25</v>
      </c>
    </row>
    <row r="13" spans="2:3" x14ac:dyDescent="0.45">
      <c r="B13" s="43" t="s">
        <v>146</v>
      </c>
      <c r="C13" t="s">
        <v>414</v>
      </c>
    </row>
    <row r="14" spans="2:3" x14ac:dyDescent="0.45">
      <c r="B14" s="41" t="s">
        <v>27</v>
      </c>
      <c r="C14" s="154" t="s">
        <v>478</v>
      </c>
    </row>
    <row r="15" spans="2:3" x14ac:dyDescent="0.45">
      <c r="B15" s="41" t="s">
        <v>142</v>
      </c>
      <c r="C15" s="155"/>
    </row>
    <row r="16" spans="2:3" x14ac:dyDescent="0.45">
      <c r="B16" s="41" t="s">
        <v>143</v>
      </c>
      <c r="C16" s="155"/>
    </row>
    <row r="17" spans="2:3" x14ac:dyDescent="0.45">
      <c r="B17" s="41" t="s">
        <v>417</v>
      </c>
      <c r="C17" s="155"/>
    </row>
    <row r="18" spans="2:3" x14ac:dyDescent="0.45">
      <c r="B18" s="41" t="s">
        <v>144</v>
      </c>
      <c r="C18" s="155"/>
    </row>
    <row r="19" spans="2:3" x14ac:dyDescent="0.45">
      <c r="B19" s="41" t="s">
        <v>58</v>
      </c>
      <c r="C19" s="155"/>
    </row>
    <row r="20" spans="2:3" x14ac:dyDescent="0.45">
      <c r="B20" s="41" t="s">
        <v>418</v>
      </c>
      <c r="C20" s="155"/>
    </row>
    <row r="21" spans="2:3" x14ac:dyDescent="0.45">
      <c r="B21" s="43" t="s">
        <v>147</v>
      </c>
      <c r="C21" t="s">
        <v>467</v>
      </c>
    </row>
    <row r="22" spans="2:3" x14ac:dyDescent="0.45">
      <c r="B22" s="43" t="s">
        <v>415</v>
      </c>
      <c r="C22" t="s">
        <v>416</v>
      </c>
    </row>
    <row r="23" spans="2:3" x14ac:dyDescent="0.45">
      <c r="B23" s="43" t="s">
        <v>464</v>
      </c>
      <c r="C23" t="s">
        <v>413</v>
      </c>
    </row>
    <row r="24" spans="2:3" x14ac:dyDescent="0.45">
      <c r="B24" s="43" t="s">
        <v>465</v>
      </c>
      <c r="C24" s="3" t="s">
        <v>477</v>
      </c>
    </row>
    <row r="25" spans="2:3" x14ac:dyDescent="0.45">
      <c r="B25" s="43" t="s">
        <v>466</v>
      </c>
      <c r="C25" s="3" t="s">
        <v>476</v>
      </c>
    </row>
    <row r="26" spans="2:3" x14ac:dyDescent="0.45">
      <c r="B26" s="43" t="s">
        <v>412</v>
      </c>
      <c r="C26" s="39" t="s">
        <v>313</v>
      </c>
    </row>
  </sheetData>
  <mergeCells count="1">
    <mergeCell ref="C14:C20"/>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84"/>
  <sheetViews>
    <sheetView zoomScale="90" zoomScaleNormal="90" workbookViewId="0">
      <pane ySplit="1" topLeftCell="A2" activePane="bottomLeft" state="frozen"/>
      <selection pane="bottomLeft" activeCell="B5" sqref="B5"/>
    </sheetView>
  </sheetViews>
  <sheetFormatPr defaultRowHeight="16" x14ac:dyDescent="0.45"/>
  <cols>
    <col min="1" max="1" width="21.1796875" customWidth="1"/>
    <col min="2" max="2" width="11.36328125" bestFit="1" customWidth="1"/>
    <col min="3" max="3" width="19.1796875" customWidth="1"/>
    <col min="4" max="4" width="17.36328125" style="27" customWidth="1"/>
    <col min="5" max="5" width="16.08984375" style="21" customWidth="1"/>
    <col min="6" max="6" width="47.54296875" customWidth="1"/>
    <col min="7" max="7" width="111.7265625" customWidth="1"/>
    <col min="8" max="8" width="27.08984375" bestFit="1" customWidth="1"/>
    <col min="16" max="16" width="11.36328125" customWidth="1"/>
  </cols>
  <sheetData>
    <row r="1" spans="1:7" s="21" customFormat="1" ht="32" x14ac:dyDescent="0.45">
      <c r="A1" s="30" t="s">
        <v>23</v>
      </c>
      <c r="B1" s="30" t="s">
        <v>24</v>
      </c>
      <c r="C1" s="30" t="s">
        <v>2</v>
      </c>
      <c r="D1" s="20" t="s">
        <v>80</v>
      </c>
      <c r="E1" s="20" t="s">
        <v>60</v>
      </c>
      <c r="F1" s="30" t="s">
        <v>25</v>
      </c>
      <c r="G1" s="30" t="s">
        <v>331</v>
      </c>
    </row>
    <row r="2" spans="1:7" s="107" customFormat="1" ht="14" customHeight="1" x14ac:dyDescent="0.45">
      <c r="A2" s="107" t="s">
        <v>26</v>
      </c>
      <c r="D2" s="111"/>
      <c r="E2" s="112"/>
    </row>
    <row r="3" spans="1:7" x14ac:dyDescent="0.45">
      <c r="A3" t="s">
        <v>73</v>
      </c>
      <c r="B3">
        <v>70</v>
      </c>
      <c r="C3" t="s">
        <v>44</v>
      </c>
      <c r="G3" s="9" t="s">
        <v>365</v>
      </c>
    </row>
    <row r="4" spans="1:7" x14ac:dyDescent="0.45">
      <c r="A4" t="s">
        <v>72</v>
      </c>
      <c r="B4">
        <v>15.5</v>
      </c>
      <c r="C4" t="s">
        <v>74</v>
      </c>
      <c r="E4" s="21">
        <v>16.5</v>
      </c>
      <c r="G4" s="9" t="s">
        <v>366</v>
      </c>
    </row>
    <row r="5" spans="1:7" s="23" customFormat="1" x14ac:dyDescent="0.45">
      <c r="A5" s="23" t="s">
        <v>71</v>
      </c>
      <c r="B5" s="24">
        <f>fruit_per_carton_weight/fruit_per_carton_number</f>
        <v>0.22142857142857142</v>
      </c>
      <c r="C5" s="23" t="s">
        <v>52</v>
      </c>
      <c r="D5" s="28"/>
      <c r="E5" s="31"/>
      <c r="G5" s="25" t="s">
        <v>367</v>
      </c>
    </row>
    <row r="6" spans="1:7" ht="32" x14ac:dyDescent="0.45">
      <c r="A6" s="4" t="s">
        <v>63</v>
      </c>
      <c r="B6" s="4">
        <v>7.3999999999999996E-2</v>
      </c>
      <c r="C6" s="4" t="s">
        <v>64</v>
      </c>
      <c r="G6" s="18" t="s">
        <v>368</v>
      </c>
    </row>
    <row r="7" spans="1:7" x14ac:dyDescent="0.45">
      <c r="A7" s="4" t="s">
        <v>70</v>
      </c>
      <c r="B7" s="4">
        <v>80</v>
      </c>
      <c r="C7" s="4" t="s">
        <v>69</v>
      </c>
      <c r="G7" s="9" t="s">
        <v>365</v>
      </c>
    </row>
    <row r="8" spans="1:7" x14ac:dyDescent="0.45">
      <c r="A8" t="s">
        <v>75</v>
      </c>
      <c r="B8">
        <v>25</v>
      </c>
      <c r="C8" t="s">
        <v>3</v>
      </c>
      <c r="G8" s="9"/>
    </row>
    <row r="9" spans="1:7" x14ac:dyDescent="0.45">
      <c r="A9" t="s">
        <v>79</v>
      </c>
      <c r="B9">
        <v>20</v>
      </c>
      <c r="C9" t="s">
        <v>44</v>
      </c>
      <c r="G9" s="9"/>
    </row>
    <row r="10" spans="1:7" ht="32" x14ac:dyDescent="0.45">
      <c r="A10" t="s">
        <v>76</v>
      </c>
      <c r="B10" s="116">
        <f>(fruit_per_carton_weight*cartons_per_pallet)/1417</f>
        <v>0.87508821453775587</v>
      </c>
      <c r="D10" s="29"/>
      <c r="G10" s="9" t="s">
        <v>369</v>
      </c>
    </row>
    <row r="11" spans="1:7" s="4" customFormat="1" ht="53" customHeight="1" x14ac:dyDescent="0.45">
      <c r="A11" s="4" t="s">
        <v>77</v>
      </c>
      <c r="B11" s="117">
        <f>0.117/0.866*share_fresh</f>
        <v>0.11822785346526264</v>
      </c>
      <c r="D11" s="35"/>
      <c r="E11" s="21"/>
      <c r="F11" s="18"/>
      <c r="G11" s="156" t="s">
        <v>370</v>
      </c>
    </row>
    <row r="12" spans="1:7" x14ac:dyDescent="0.45">
      <c r="A12" t="s">
        <v>158</v>
      </c>
      <c r="B12" s="116">
        <f>1-share_fresh-share_processing</f>
        <v>6.6839319969814875E-3</v>
      </c>
      <c r="D12" s="29"/>
      <c r="E12"/>
      <c r="G12" s="156"/>
    </row>
    <row r="13" spans="1:7" s="23" customFormat="1" x14ac:dyDescent="0.45">
      <c r="A13" t="s">
        <v>88</v>
      </c>
      <c r="B13">
        <v>7.1999999999999995E-2</v>
      </c>
      <c r="C13" t="s">
        <v>86</v>
      </c>
      <c r="D13" s="28"/>
      <c r="E13" s="31"/>
      <c r="G13" s="25" t="s">
        <v>371</v>
      </c>
    </row>
    <row r="14" spans="1:7" x14ac:dyDescent="0.45">
      <c r="A14" t="s">
        <v>85</v>
      </c>
      <c r="B14" s="22">
        <f>AVERAGE(D14:E14)</f>
        <v>3.5000000000000004E-6</v>
      </c>
      <c r="C14" t="s">
        <v>86</v>
      </c>
      <c r="D14" s="32">
        <v>1.9999999999999999E-6</v>
      </c>
      <c r="E14" s="33">
        <v>5.0000000000000004E-6</v>
      </c>
      <c r="G14" s="9" t="s">
        <v>84</v>
      </c>
    </row>
    <row r="15" spans="1:7" x14ac:dyDescent="0.45">
      <c r="A15" t="s">
        <v>87</v>
      </c>
      <c r="B15" s="34">
        <f>3.14*(fruit_diameter/2)^2*wax_thickness</f>
        <v>1.424304E-8</v>
      </c>
      <c r="C15" t="s">
        <v>5</v>
      </c>
      <c r="D15" s="32"/>
      <c r="E15" s="33"/>
      <c r="G15" s="9"/>
    </row>
    <row r="16" spans="1:7" ht="16.5" customHeight="1" x14ac:dyDescent="0.45">
      <c r="A16" t="s">
        <v>89</v>
      </c>
      <c r="B16">
        <v>900</v>
      </c>
      <c r="C16" t="s">
        <v>29</v>
      </c>
      <c r="D16" s="32"/>
      <c r="E16" s="33"/>
      <c r="G16" s="9" t="s">
        <v>90</v>
      </c>
    </row>
    <row r="17" spans="1:18" x14ac:dyDescent="0.45">
      <c r="A17" t="s">
        <v>160</v>
      </c>
      <c r="B17">
        <v>7500</v>
      </c>
      <c r="C17" t="s">
        <v>7</v>
      </c>
      <c r="D17"/>
      <c r="E17" s="22"/>
      <c r="G17" t="s">
        <v>174</v>
      </c>
    </row>
    <row r="18" spans="1:18" ht="32" x14ac:dyDescent="0.45">
      <c r="A18" s="4" t="s">
        <v>161</v>
      </c>
      <c r="B18" s="4">
        <f>250*1000*300</f>
        <v>75000000</v>
      </c>
      <c r="C18" s="4" t="s">
        <v>62</v>
      </c>
      <c r="D18"/>
      <c r="E18" s="22"/>
      <c r="G18" s="8" t="s">
        <v>372</v>
      </c>
    </row>
    <row r="19" spans="1:18" x14ac:dyDescent="0.45">
      <c r="A19" t="s">
        <v>162</v>
      </c>
      <c r="B19">
        <v>50</v>
      </c>
      <c r="C19" t="s">
        <v>164</v>
      </c>
      <c r="D19"/>
      <c r="E19" s="22"/>
      <c r="G19" s="9" t="s">
        <v>178</v>
      </c>
    </row>
    <row r="20" spans="1:18" x14ac:dyDescent="0.45">
      <c r="A20" t="s">
        <v>163</v>
      </c>
      <c r="B20">
        <v>0.67</v>
      </c>
      <c r="C20" t="s">
        <v>44</v>
      </c>
      <c r="D20"/>
      <c r="E20" s="22"/>
      <c r="G20" t="s">
        <v>373</v>
      </c>
    </row>
    <row r="21" spans="1:18" x14ac:dyDescent="0.45">
      <c r="A21" t="s">
        <v>91</v>
      </c>
      <c r="B21">
        <f>AVERAGE(D21:E21)</f>
        <v>10</v>
      </c>
      <c r="C21" t="s">
        <v>51</v>
      </c>
      <c r="D21" s="27">
        <v>0</v>
      </c>
      <c r="E21" s="21">
        <v>20</v>
      </c>
      <c r="G21" t="s">
        <v>374</v>
      </c>
    </row>
    <row r="22" spans="1:18" s="107" customFormat="1" x14ac:dyDescent="0.45">
      <c r="A22" s="113" t="s">
        <v>404</v>
      </c>
      <c r="D22" s="111"/>
      <c r="E22" s="112"/>
    </row>
    <row r="23" spans="1:18" s="4" customFormat="1" ht="112" x14ac:dyDescent="0.45">
      <c r="A23" s="4" t="s">
        <v>99</v>
      </c>
      <c r="B23" s="4">
        <f>AVERAGE(D23:E23)</f>
        <v>17</v>
      </c>
      <c r="C23" s="4" t="s">
        <v>46</v>
      </c>
      <c r="D23" s="21">
        <v>12</v>
      </c>
      <c r="E23" s="21">
        <v>22</v>
      </c>
      <c r="F23" s="18" t="s">
        <v>45</v>
      </c>
      <c r="G23" s="9" t="s">
        <v>383</v>
      </c>
      <c r="M23" s="4">
        <v>0</v>
      </c>
      <c r="N23" s="4">
        <v>17</v>
      </c>
      <c r="P23" s="9" t="s">
        <v>255</v>
      </c>
      <c r="Q23" s="4">
        <f>0.875*(17-4)</f>
        <v>11.375</v>
      </c>
    </row>
    <row r="24" spans="1:18" x14ac:dyDescent="0.45">
      <c r="A24" t="s">
        <v>100</v>
      </c>
      <c r="B24">
        <v>4</v>
      </c>
      <c r="C24" t="s">
        <v>46</v>
      </c>
      <c r="E24" s="27"/>
      <c r="F24" s="37" t="s">
        <v>47</v>
      </c>
      <c r="G24" t="s">
        <v>227</v>
      </c>
      <c r="M24">
        <f>1.25*24</f>
        <v>30</v>
      </c>
      <c r="N24">
        <v>4</v>
      </c>
      <c r="P24" t="s">
        <v>257</v>
      </c>
      <c r="Q24">
        <f>N23-Q23</f>
        <v>5.625</v>
      </c>
    </row>
    <row r="25" spans="1:18" x14ac:dyDescent="0.45">
      <c r="A25" t="s">
        <v>101</v>
      </c>
      <c r="B25">
        <v>3730</v>
      </c>
      <c r="C25" t="s">
        <v>48</v>
      </c>
      <c r="E25"/>
      <c r="F25" s="37" t="s">
        <v>97</v>
      </c>
      <c r="G25" t="s">
        <v>250</v>
      </c>
      <c r="P25" t="s">
        <v>256</v>
      </c>
      <c r="Q25">
        <v>22</v>
      </c>
      <c r="R25" t="s">
        <v>258</v>
      </c>
    </row>
    <row r="26" spans="1:18" s="4" customFormat="1" ht="32.5" thickBot="1" x14ac:dyDescent="0.5">
      <c r="A26" s="4" t="s">
        <v>249</v>
      </c>
      <c r="B26" s="4">
        <v>0.41</v>
      </c>
      <c r="C26" s="9" t="s">
        <v>50</v>
      </c>
      <c r="D26" s="21"/>
      <c r="F26" s="18" t="s">
        <v>49</v>
      </c>
      <c r="G26" s="4" t="s">
        <v>375</v>
      </c>
    </row>
    <row r="27" spans="1:18" s="4" customFormat="1" ht="32.5" thickBot="1" x14ac:dyDescent="0.5">
      <c r="B27" s="68">
        <f>(Cp_fruit/1000*(Ti_pre_cooling-Tf_pre_cooling))/EC/1000/3.6</f>
        <v>3.2852303523035233E-2</v>
      </c>
      <c r="C27" s="9" t="s">
        <v>102</v>
      </c>
      <c r="D27" s="21"/>
      <c r="F27" s="18" t="s">
        <v>232</v>
      </c>
      <c r="G27" s="4" t="s">
        <v>104</v>
      </c>
    </row>
    <row r="28" spans="1:18" s="4" customFormat="1" ht="48" x14ac:dyDescent="0.45">
      <c r="A28" s="39" t="s">
        <v>230</v>
      </c>
      <c r="B28" s="4">
        <f>Ti_pre_cooling</f>
        <v>17</v>
      </c>
      <c r="C28" s="4" t="s">
        <v>46</v>
      </c>
      <c r="F28" s="18" t="s">
        <v>122</v>
      </c>
      <c r="G28" s="18"/>
    </row>
    <row r="29" spans="1:18" ht="16" customHeight="1" x14ac:dyDescent="0.45">
      <c r="A29" s="38" t="s">
        <v>125</v>
      </c>
      <c r="B29">
        <v>6.9599999999999995E-2</v>
      </c>
      <c r="D29"/>
      <c r="E29"/>
      <c r="F29" s="18"/>
      <c r="G29" s="18"/>
    </row>
    <row r="30" spans="1:18" ht="16" customHeight="1" x14ac:dyDescent="0.45">
      <c r="A30" s="38" t="s">
        <v>126</v>
      </c>
      <c r="B30">
        <v>0.94059999999999999</v>
      </c>
      <c r="D30"/>
      <c r="E30"/>
      <c r="F30" s="18"/>
      <c r="G30" s="18"/>
    </row>
    <row r="31" spans="1:18" x14ac:dyDescent="0.45">
      <c r="A31" s="4" t="s">
        <v>234</v>
      </c>
      <c r="B31" s="89">
        <f>AVERAGE(D31:E31)</f>
        <v>1.25</v>
      </c>
      <c r="C31" s="9" t="s">
        <v>121</v>
      </c>
      <c r="D31" s="21">
        <f>24/24</f>
        <v>1</v>
      </c>
      <c r="E31" s="4">
        <f>36/24</f>
        <v>1.5</v>
      </c>
      <c r="F31" s="18"/>
      <c r="G31" s="4" t="s">
        <v>376</v>
      </c>
    </row>
    <row r="32" spans="1:18" s="4" customFormat="1" ht="92" customHeight="1" x14ac:dyDescent="0.45">
      <c r="A32" s="18" t="s">
        <v>233</v>
      </c>
      <c r="B32" s="55">
        <f>22/24</f>
        <v>0.91666666666666663</v>
      </c>
      <c r="C32" s="4" t="s">
        <v>121</v>
      </c>
      <c r="D32" s="13"/>
      <c r="E32" s="13"/>
      <c r="F32" s="16" t="s">
        <v>377</v>
      </c>
      <c r="G32" s="9" t="s">
        <v>379</v>
      </c>
    </row>
    <row r="33" spans="1:7" s="4" customFormat="1" x14ac:dyDescent="0.45">
      <c r="A33" s="18" t="s">
        <v>238</v>
      </c>
      <c r="B33" s="90">
        <v>60</v>
      </c>
      <c r="D33" s="13"/>
      <c r="E33" s="13"/>
      <c r="F33" s="16"/>
      <c r="G33" s="4" t="s">
        <v>376</v>
      </c>
    </row>
    <row r="34" spans="1:7" s="4" customFormat="1" ht="16.5" thickBot="1" x14ac:dyDescent="0.5">
      <c r="A34" s="18" t="s">
        <v>235</v>
      </c>
      <c r="B34" s="91">
        <f>fruit_per_carton_weight*cartons_per_pallet*pallet_per_pre_cooling</f>
        <v>74400</v>
      </c>
      <c r="C34" s="4" t="s">
        <v>3</v>
      </c>
      <c r="D34" s="13"/>
      <c r="E34" s="13"/>
      <c r="F34" s="16" t="s">
        <v>236</v>
      </c>
      <c r="G34" s="9"/>
    </row>
    <row r="35" spans="1:7" s="4" customFormat="1" ht="32.5" thickBot="1" x14ac:dyDescent="0.5">
      <c r="B35" s="68">
        <f>(p_lin1*T_amb_port+p_lin2)*2*(time_pre_cooling-SECT_pre_cooling)*24*3600/1000/3.6/ capacity_pre_cooling</f>
        <v>4.5673118279569898E-4</v>
      </c>
      <c r="C35" s="9" t="s">
        <v>102</v>
      </c>
      <c r="F35" s="18" t="s">
        <v>237</v>
      </c>
    </row>
    <row r="36" spans="1:7" x14ac:dyDescent="0.45">
      <c r="A36" t="s">
        <v>231</v>
      </c>
      <c r="B36" s="92">
        <f>SUM(B27,B35)</f>
        <v>3.330903470583093E-2</v>
      </c>
      <c r="C36" t="s">
        <v>102</v>
      </c>
    </row>
    <row r="37" spans="1:7" s="107" customFormat="1" x14ac:dyDescent="0.45">
      <c r="A37" s="107" t="s">
        <v>420</v>
      </c>
      <c r="D37" s="111"/>
      <c r="E37" s="112"/>
    </row>
    <row r="38" spans="1:7" ht="32" x14ac:dyDescent="0.45">
      <c r="A38" s="8" t="s">
        <v>243</v>
      </c>
      <c r="B38">
        <f>Tf_pre_cooling</f>
        <v>4</v>
      </c>
      <c r="C38" t="s">
        <v>46</v>
      </c>
      <c r="E38"/>
      <c r="F38" s="37" t="s">
        <v>45</v>
      </c>
      <c r="G38" s="4" t="s">
        <v>376</v>
      </c>
    </row>
    <row r="39" spans="1:7" x14ac:dyDescent="0.45">
      <c r="A39" t="s">
        <v>240</v>
      </c>
      <c r="B39">
        <v>0</v>
      </c>
      <c r="C39" t="s">
        <v>46</v>
      </c>
      <c r="E39"/>
      <c r="F39" s="37" t="s">
        <v>47</v>
      </c>
      <c r="G39" s="4" t="s">
        <v>376</v>
      </c>
    </row>
    <row r="40" spans="1:7" x14ac:dyDescent="0.45">
      <c r="A40" t="s">
        <v>101</v>
      </c>
      <c r="B40">
        <v>3770</v>
      </c>
      <c r="C40" t="s">
        <v>48</v>
      </c>
      <c r="E40"/>
      <c r="F40" s="37" t="s">
        <v>97</v>
      </c>
      <c r="G40" t="s">
        <v>98</v>
      </c>
    </row>
    <row r="41" spans="1:7" s="4" customFormat="1" ht="32.5" thickBot="1" x14ac:dyDescent="0.5">
      <c r="A41" s="4" t="s">
        <v>239</v>
      </c>
      <c r="B41" s="4">
        <v>0.41</v>
      </c>
      <c r="C41" s="9" t="s">
        <v>50</v>
      </c>
      <c r="D41" s="21"/>
      <c r="F41" s="18" t="s">
        <v>49</v>
      </c>
      <c r="G41" s="4" t="s">
        <v>375</v>
      </c>
    </row>
    <row r="42" spans="1:7" s="4" customFormat="1" ht="32.5" thickBot="1" x14ac:dyDescent="0.5">
      <c r="B42" s="68">
        <f>(Cp_fruit*(Tf_pre_cooling-Tf_to_port)/1000)/EC/1000</f>
        <v>3.6390243902439022E-2</v>
      </c>
      <c r="C42" s="9" t="s">
        <v>229</v>
      </c>
      <c r="D42" s="21"/>
      <c r="F42" s="18" t="s">
        <v>251</v>
      </c>
      <c r="G42" s="9" t="s">
        <v>140</v>
      </c>
    </row>
    <row r="43" spans="1:7" s="4" customFormat="1" x14ac:dyDescent="0.45">
      <c r="A43" t="s">
        <v>106</v>
      </c>
      <c r="B43">
        <f>Tf_to_port</f>
        <v>0</v>
      </c>
      <c r="C43" t="s">
        <v>46</v>
      </c>
      <c r="D43" s="21"/>
      <c r="F43" s="18"/>
      <c r="G43" s="9"/>
    </row>
    <row r="44" spans="1:7" s="4" customFormat="1" ht="48" x14ac:dyDescent="0.45">
      <c r="A44" s="39" t="s">
        <v>108</v>
      </c>
      <c r="B44" s="4">
        <v>17</v>
      </c>
      <c r="C44" s="4" t="s">
        <v>46</v>
      </c>
      <c r="F44" s="18" t="s">
        <v>242</v>
      </c>
      <c r="G44" s="18"/>
    </row>
    <row r="45" spans="1:7" ht="16" customHeight="1" x14ac:dyDescent="0.45">
      <c r="A45" s="38" t="s">
        <v>125</v>
      </c>
      <c r="B45">
        <v>6.9599999999999995E-2</v>
      </c>
      <c r="D45"/>
      <c r="E45"/>
      <c r="F45" s="18"/>
      <c r="G45" s="18"/>
    </row>
    <row r="46" spans="1:7" ht="16" customHeight="1" x14ac:dyDescent="0.45">
      <c r="A46" s="38" t="s">
        <v>126</v>
      </c>
      <c r="B46">
        <v>0.94059999999999999</v>
      </c>
      <c r="D46" s="38"/>
      <c r="E46"/>
      <c r="F46" s="18"/>
      <c r="G46" s="18"/>
    </row>
    <row r="47" spans="1:7" x14ac:dyDescent="0.45">
      <c r="A47" t="s">
        <v>241</v>
      </c>
      <c r="B47">
        <v>26</v>
      </c>
      <c r="C47" t="s">
        <v>121</v>
      </c>
      <c r="G47" s="9" t="s">
        <v>365</v>
      </c>
    </row>
    <row r="48" spans="1:7" s="4" customFormat="1" ht="64.5" thickBot="1" x14ac:dyDescent="0.5">
      <c r="A48" s="18" t="s">
        <v>127</v>
      </c>
      <c r="B48" s="4">
        <v>0</v>
      </c>
      <c r="C48" s="4" t="s">
        <v>121</v>
      </c>
      <c r="D48" s="13"/>
      <c r="E48" s="13"/>
      <c r="F48" s="16" t="s">
        <v>120</v>
      </c>
      <c r="G48" s="9" t="s">
        <v>380</v>
      </c>
    </row>
    <row r="49" spans="1:7" ht="16.5" thickBot="1" x14ac:dyDescent="0.5">
      <c r="A49" s="38"/>
      <c r="B49" s="67">
        <f>(p_lin1*T_amb_shipment+p_lin2)*2*(time_shipment-SECT_shipment)*24*3600/1000/(fruit_per_carton_weight*cartons_per_pallet*pallet_per_container)</f>
        <v>0.38475034838709676</v>
      </c>
      <c r="C49" s="9" t="s">
        <v>229</v>
      </c>
      <c r="D49" s="38"/>
      <c r="F49" s="37" t="s">
        <v>123</v>
      </c>
      <c r="G49" t="s">
        <v>138</v>
      </c>
    </row>
    <row r="50" spans="1:7" x14ac:dyDescent="0.45">
      <c r="A50" s="38" t="s">
        <v>94</v>
      </c>
      <c r="B50" s="14">
        <v>149</v>
      </c>
      <c r="C50" t="s">
        <v>51</v>
      </c>
      <c r="G50" t="s">
        <v>382</v>
      </c>
    </row>
    <row r="51" spans="1:7" ht="32" x14ac:dyDescent="0.45">
      <c r="A51" t="s">
        <v>95</v>
      </c>
      <c r="B51" s="36">
        <v>12160.232</v>
      </c>
      <c r="C51" t="s">
        <v>51</v>
      </c>
      <c r="G51" s="8" t="s">
        <v>381</v>
      </c>
    </row>
    <row r="52" spans="1:7" s="107" customFormat="1" x14ac:dyDescent="0.45">
      <c r="A52" s="107" t="s">
        <v>136</v>
      </c>
      <c r="D52" s="111"/>
      <c r="E52" s="112"/>
    </row>
    <row r="53" spans="1:7" s="4" customFormat="1" ht="112" x14ac:dyDescent="0.45">
      <c r="A53" s="9" t="s">
        <v>246</v>
      </c>
      <c r="B53" s="4">
        <f>B43</f>
        <v>0</v>
      </c>
      <c r="C53" s="4" t="s">
        <v>46</v>
      </c>
      <c r="D53" s="21">
        <v>12</v>
      </c>
      <c r="E53" s="21">
        <v>22</v>
      </c>
      <c r="F53" s="18" t="s">
        <v>45</v>
      </c>
      <c r="G53" s="9" t="s">
        <v>383</v>
      </c>
    </row>
    <row r="54" spans="1:7" x14ac:dyDescent="0.45">
      <c r="A54" t="s">
        <v>247</v>
      </c>
      <c r="B54">
        <f>Ti_storage</f>
        <v>0</v>
      </c>
      <c r="C54" t="s">
        <v>46</v>
      </c>
      <c r="E54" s="27"/>
      <c r="F54" s="37" t="s">
        <v>47</v>
      </c>
      <c r="G54" t="s">
        <v>227</v>
      </c>
    </row>
    <row r="55" spans="1:7" x14ac:dyDescent="0.45">
      <c r="A55" t="s">
        <v>101</v>
      </c>
      <c r="B55">
        <v>3770</v>
      </c>
      <c r="C55" t="s">
        <v>48</v>
      </c>
      <c r="E55"/>
      <c r="F55" s="37" t="s">
        <v>97</v>
      </c>
      <c r="G55" t="s">
        <v>98</v>
      </c>
    </row>
    <row r="56" spans="1:7" s="4" customFormat="1" ht="32.5" thickBot="1" x14ac:dyDescent="0.5">
      <c r="A56" s="4" t="s">
        <v>103</v>
      </c>
      <c r="B56" s="4">
        <v>0.41</v>
      </c>
      <c r="C56" s="9" t="s">
        <v>50</v>
      </c>
      <c r="D56" s="21"/>
      <c r="F56" s="18" t="s">
        <v>49</v>
      </c>
      <c r="G56" s="4" t="s">
        <v>375</v>
      </c>
    </row>
    <row r="57" spans="1:7" s="4" customFormat="1" ht="32.5" thickBot="1" x14ac:dyDescent="0.5">
      <c r="B57" s="68">
        <f>(Cp_fruit/1000*(Ti_storage-Tf_storage)/EC/1000/3.6)</f>
        <v>0</v>
      </c>
      <c r="C57" s="9" t="s">
        <v>102</v>
      </c>
      <c r="D57" s="21"/>
      <c r="F57" s="18" t="s">
        <v>232</v>
      </c>
      <c r="G57" s="4" t="s">
        <v>104</v>
      </c>
    </row>
    <row r="58" spans="1:7" s="4" customFormat="1" ht="48" x14ac:dyDescent="0.45">
      <c r="A58" s="39" t="s">
        <v>129</v>
      </c>
      <c r="B58" s="4">
        <v>10</v>
      </c>
      <c r="C58" s="4" t="s">
        <v>46</v>
      </c>
      <c r="F58" s="18" t="s">
        <v>248</v>
      </c>
      <c r="G58" s="18" t="s">
        <v>244</v>
      </c>
    </row>
    <row r="59" spans="1:7" ht="16" customHeight="1" x14ac:dyDescent="0.45">
      <c r="A59" s="38" t="s">
        <v>125</v>
      </c>
      <c r="B59">
        <v>6.9599999999999995E-2</v>
      </c>
      <c r="D59"/>
      <c r="E59"/>
      <c r="F59" s="18"/>
      <c r="G59" s="18"/>
    </row>
    <row r="60" spans="1:7" ht="16" customHeight="1" x14ac:dyDescent="0.45">
      <c r="A60" s="38" t="s">
        <v>126</v>
      </c>
      <c r="B60">
        <v>0.96909999999999996</v>
      </c>
      <c r="D60"/>
      <c r="E60"/>
      <c r="F60" s="18"/>
      <c r="G60" s="18"/>
    </row>
    <row r="61" spans="1:7" ht="32" x14ac:dyDescent="0.45">
      <c r="A61" t="s">
        <v>128</v>
      </c>
      <c r="B61" s="61">
        <v>10</v>
      </c>
      <c r="C61" t="s">
        <v>121</v>
      </c>
      <c r="G61" s="9" t="s">
        <v>384</v>
      </c>
    </row>
    <row r="62" spans="1:7" s="4" customFormat="1" ht="64.5" thickBot="1" x14ac:dyDescent="0.5">
      <c r="A62" s="18" t="s">
        <v>130</v>
      </c>
      <c r="B62" s="4">
        <v>0</v>
      </c>
      <c r="C62" s="4" t="s">
        <v>121</v>
      </c>
      <c r="D62" s="13"/>
      <c r="E62" s="13"/>
      <c r="F62" s="16" t="s">
        <v>120</v>
      </c>
      <c r="G62" s="9" t="s">
        <v>385</v>
      </c>
    </row>
    <row r="63" spans="1:7" ht="16.5" thickBot="1" x14ac:dyDescent="0.5">
      <c r="A63" s="38"/>
      <c r="B63" s="67">
        <f>(p_lin1*T_amb_storage+p_lin2)*2*(time_storage-SECT_storage)*24*3600/1000/3.6/capacity_pre_cooling</f>
        <v>1.0558709677419353E-2</v>
      </c>
      <c r="C63" t="s">
        <v>124</v>
      </c>
      <c r="F63" s="37" t="s">
        <v>123</v>
      </c>
      <c r="G63" t="s">
        <v>139</v>
      </c>
    </row>
    <row r="64" spans="1:7" x14ac:dyDescent="0.45">
      <c r="A64" t="s">
        <v>231</v>
      </c>
      <c r="B64">
        <f>SUM(B57,B63)</f>
        <v>1.0558709677419353E-2</v>
      </c>
      <c r="C64" t="s">
        <v>102</v>
      </c>
    </row>
    <row r="65" spans="1:7" s="107" customFormat="1" x14ac:dyDescent="0.45">
      <c r="A65" s="107" t="s">
        <v>137</v>
      </c>
      <c r="D65" s="111"/>
      <c r="E65" s="112"/>
    </row>
    <row r="66" spans="1:7" ht="32" x14ac:dyDescent="0.45">
      <c r="A66" t="s">
        <v>113</v>
      </c>
      <c r="B66">
        <v>73</v>
      </c>
      <c r="C66" t="s">
        <v>51</v>
      </c>
      <c r="D66"/>
      <c r="E66"/>
      <c r="F66" t="s">
        <v>115</v>
      </c>
      <c r="G66" s="62" t="s">
        <v>118</v>
      </c>
    </row>
    <row r="67" spans="1:7" x14ac:dyDescent="0.45">
      <c r="B67" s="23">
        <v>25</v>
      </c>
      <c r="C67" s="23" t="s">
        <v>51</v>
      </c>
      <c r="D67" s="23"/>
      <c r="E67" s="23"/>
      <c r="F67" s="23" t="s">
        <v>116</v>
      </c>
      <c r="G67" s="23" t="s">
        <v>114</v>
      </c>
    </row>
    <row r="68" spans="1:7" x14ac:dyDescent="0.45">
      <c r="B68" s="23">
        <v>114</v>
      </c>
      <c r="C68" s="23" t="s">
        <v>51</v>
      </c>
      <c r="D68" s="23"/>
      <c r="E68" s="23"/>
      <c r="F68" s="23" t="s">
        <v>117</v>
      </c>
      <c r="G68" s="23" t="s">
        <v>114</v>
      </c>
    </row>
    <row r="69" spans="1:7" ht="32" x14ac:dyDescent="0.45">
      <c r="A69" t="s">
        <v>135</v>
      </c>
      <c r="B69" s="61">
        <v>5</v>
      </c>
      <c r="C69" t="s">
        <v>121</v>
      </c>
      <c r="G69" s="9" t="s">
        <v>386</v>
      </c>
    </row>
    <row r="70" spans="1:7" s="4" customFormat="1" ht="32" x14ac:dyDescent="0.45">
      <c r="A70" s="4" t="s">
        <v>254</v>
      </c>
      <c r="B70" s="14">
        <f>2.7/3.6/1000</f>
        <v>7.5000000000000002E-4</v>
      </c>
      <c r="C70" s="4" t="s">
        <v>252</v>
      </c>
      <c r="D70" s="21"/>
      <c r="E70" s="21"/>
      <c r="F70" s="9" t="s">
        <v>253</v>
      </c>
      <c r="G70" s="9"/>
    </row>
    <row r="71" spans="1:7" ht="29" customHeight="1" x14ac:dyDescent="0.45">
      <c r="A71" s="39" t="s">
        <v>152</v>
      </c>
      <c r="B71" s="4">
        <v>0.4</v>
      </c>
      <c r="C71" s="4" t="s">
        <v>86</v>
      </c>
      <c r="D71"/>
      <c r="E71"/>
      <c r="F71" s="156" t="s">
        <v>151</v>
      </c>
      <c r="G71" s="156" t="str">
        <f>'6. retail'!F5</f>
        <v>The retail shop in the Netherland varies from 800 -1320 m2 in size. A proxy is based on the size of the box we know at the packhouse as reference. The boxes from Wu et al. 2019 are circa 30 cm * 40 cm, which makes a surface of 1200 cm2 = 0.12 m2 . A Supervent box contains 15.5kg, so 0.12 m2 / 15 kg = 0.0077 m2 occupied by 1kg oranges. Lifetime retail assumed to be 50y</v>
      </c>
    </row>
    <row r="72" spans="1:7" ht="25.5" customHeight="1" x14ac:dyDescent="0.45">
      <c r="A72" s="39" t="s">
        <v>150</v>
      </c>
      <c r="B72" s="4">
        <v>0.3</v>
      </c>
      <c r="C72" s="4" t="s">
        <v>86</v>
      </c>
      <c r="D72"/>
      <c r="E72"/>
      <c r="F72" s="156"/>
      <c r="G72" s="156"/>
    </row>
    <row r="73" spans="1:7" ht="28.5" customHeight="1" x14ac:dyDescent="0.45">
      <c r="A73" s="39" t="s">
        <v>172</v>
      </c>
      <c r="B73" s="4">
        <f>AVERAGE(D73:E73)</f>
        <v>1060</v>
      </c>
      <c r="C73" s="4" t="s">
        <v>7</v>
      </c>
      <c r="D73" s="21">
        <v>800</v>
      </c>
      <c r="E73" s="21">
        <v>1320</v>
      </c>
      <c r="F73" s="18"/>
      <c r="G73" s="37"/>
    </row>
    <row r="74" spans="1:7" ht="28.5" customHeight="1" x14ac:dyDescent="0.45">
      <c r="A74" s="39" t="s">
        <v>173</v>
      </c>
      <c r="B74" s="4">
        <v>50</v>
      </c>
      <c r="C74" s="4" t="s">
        <v>164</v>
      </c>
      <c r="D74"/>
      <c r="E74"/>
      <c r="F74" s="18"/>
      <c r="G74" s="37"/>
    </row>
    <row r="75" spans="1:7" x14ac:dyDescent="0.45">
      <c r="A75" s="4" t="s">
        <v>154</v>
      </c>
      <c r="B75" s="44">
        <f>AVERAGE(D75:E75)</f>
        <v>4.1000000000000002E-2</v>
      </c>
      <c r="C75" s="17"/>
      <c r="D75" s="45">
        <v>0.02</v>
      </c>
      <c r="E75" s="45">
        <v>6.2E-2</v>
      </c>
      <c r="F75" s="9" t="s">
        <v>396</v>
      </c>
      <c r="G75" s="9" t="s">
        <v>397</v>
      </c>
    </row>
    <row r="76" spans="1:7" s="107" customFormat="1" x14ac:dyDescent="0.45">
      <c r="A76" s="107" t="s">
        <v>134</v>
      </c>
      <c r="D76" s="111"/>
      <c r="E76" s="112"/>
    </row>
    <row r="77" spans="1:7" x14ac:dyDescent="0.45">
      <c r="A77" t="s">
        <v>119</v>
      </c>
      <c r="B77">
        <v>4</v>
      </c>
      <c r="C77" t="s">
        <v>51</v>
      </c>
      <c r="D77"/>
      <c r="E77"/>
      <c r="F77" t="s">
        <v>403</v>
      </c>
      <c r="G77" t="s">
        <v>398</v>
      </c>
    </row>
    <row r="78" spans="1:7" ht="32" x14ac:dyDescent="0.45">
      <c r="A78" t="s">
        <v>259</v>
      </c>
      <c r="B78">
        <v>0.03</v>
      </c>
      <c r="D78"/>
      <c r="E78"/>
      <c r="G78" s="8" t="s">
        <v>399</v>
      </c>
    </row>
    <row r="79" spans="1:7" ht="24" customHeight="1" x14ac:dyDescent="0.45">
      <c r="A79" t="s">
        <v>131</v>
      </c>
      <c r="B79" s="93">
        <f>0.12*0.54</f>
        <v>6.4799999999999996E-2</v>
      </c>
      <c r="D79"/>
      <c r="E79"/>
      <c r="G79" s="157" t="s">
        <v>401</v>
      </c>
    </row>
    <row r="80" spans="1:7" ht="27.5" customHeight="1" x14ac:dyDescent="0.45">
      <c r="A80" t="s">
        <v>156</v>
      </c>
      <c r="B80" s="93">
        <f>0.12*(1-0.54)</f>
        <v>5.5199999999999992E-2</v>
      </c>
      <c r="F80" s="21"/>
      <c r="G80" s="157"/>
    </row>
    <row r="84" spans="7:7" x14ac:dyDescent="0.45">
      <c r="G84">
        <f>26+56</f>
        <v>82</v>
      </c>
    </row>
  </sheetData>
  <mergeCells count="4">
    <mergeCell ref="G11:G12"/>
    <mergeCell ref="G71:G72"/>
    <mergeCell ref="G79:G80"/>
    <mergeCell ref="F71:F72"/>
  </mergeCells>
  <hyperlinks>
    <hyperlink ref="G66" r:id="rId1" location="8.73/52.1438/4.3977/0/0/s%7C4.47917%2C51.9225%7CRotterdam%2C%20South%20Holland%2C%20NL%2Fd%7C4.88969%2C52.37403%7CAmsterdam%2C%20North%20Holland%2C%20NL" xr:uid="{00000000-0004-0000-0A00-000000000000}"/>
  </hyperlinks>
  <pageMargins left="0.7" right="0.7" top="0.75" bottom="0.75" header="0.3" footer="0.3"/>
  <pageSetup orientation="portrait" horizontalDpi="4294967293" r:id="rId2"/>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N18"/>
  <sheetViews>
    <sheetView workbookViewId="0">
      <selection activeCell="O39" sqref="O39"/>
    </sheetView>
  </sheetViews>
  <sheetFormatPr defaultRowHeight="16" x14ac:dyDescent="0.45"/>
  <cols>
    <col min="1" max="15" width="7.7265625" customWidth="1"/>
  </cols>
  <sheetData>
    <row r="1" spans="1:14" x14ac:dyDescent="0.45">
      <c r="A1" t="s">
        <v>41</v>
      </c>
      <c r="B1" t="s">
        <v>40</v>
      </c>
      <c r="C1" t="s">
        <v>165</v>
      </c>
      <c r="D1" t="s">
        <v>39</v>
      </c>
      <c r="E1" t="s">
        <v>38</v>
      </c>
      <c r="F1" t="s">
        <v>37</v>
      </c>
      <c r="G1" t="s">
        <v>166</v>
      </c>
      <c r="H1" t="s">
        <v>36</v>
      </c>
      <c r="I1" t="s">
        <v>35</v>
      </c>
      <c r="J1" t="s">
        <v>34</v>
      </c>
      <c r="K1" t="s">
        <v>2</v>
      </c>
      <c r="L1" t="s">
        <v>24</v>
      </c>
      <c r="M1" t="s">
        <v>33</v>
      </c>
      <c r="N1" t="s">
        <v>32</v>
      </c>
    </row>
    <row r="2" spans="1:14" x14ac:dyDescent="0.45">
      <c r="A2" t="s">
        <v>167</v>
      </c>
      <c r="B2" t="s">
        <v>31</v>
      </c>
      <c r="C2">
        <v>710</v>
      </c>
      <c r="D2" t="s">
        <v>30</v>
      </c>
      <c r="E2">
        <v>5910</v>
      </c>
      <c r="F2" t="s">
        <v>168</v>
      </c>
      <c r="G2">
        <v>1322</v>
      </c>
      <c r="H2" t="s">
        <v>169</v>
      </c>
      <c r="I2">
        <v>2016</v>
      </c>
      <c r="J2">
        <v>2016</v>
      </c>
      <c r="K2" t="s">
        <v>42</v>
      </c>
      <c r="L2">
        <v>236868</v>
      </c>
      <c r="M2" s="48">
        <f>L2/SUM($L$2:$L$4)</f>
        <v>0.15893703793666619</v>
      </c>
    </row>
    <row r="3" spans="1:14" s="50" customFormat="1" x14ac:dyDescent="0.45">
      <c r="A3" s="50" t="s">
        <v>167</v>
      </c>
      <c r="B3" s="50" t="s">
        <v>31</v>
      </c>
      <c r="C3" s="50">
        <v>710</v>
      </c>
      <c r="D3" s="50" t="s">
        <v>30</v>
      </c>
      <c r="E3" s="50">
        <v>5910</v>
      </c>
      <c r="F3" s="50" t="s">
        <v>168</v>
      </c>
      <c r="G3" s="50">
        <v>1323</v>
      </c>
      <c r="H3" s="50" t="s">
        <v>170</v>
      </c>
      <c r="I3" s="50">
        <v>2016</v>
      </c>
      <c r="J3" s="50">
        <v>2016</v>
      </c>
      <c r="K3" s="50" t="s">
        <v>42</v>
      </c>
      <c r="L3" s="50">
        <v>1063857</v>
      </c>
      <c r="M3" s="51">
        <f t="shared" ref="M3:M4" si="0">L3/SUM($L$2:$L$4)</f>
        <v>0.7138418037395845</v>
      </c>
    </row>
    <row r="4" spans="1:14" s="47" customFormat="1" x14ac:dyDescent="0.45">
      <c r="A4" s="47" t="s">
        <v>167</v>
      </c>
      <c r="B4" s="47" t="s">
        <v>31</v>
      </c>
      <c r="C4" s="47">
        <v>710</v>
      </c>
      <c r="D4" s="47" t="s">
        <v>30</v>
      </c>
      <c r="E4" s="47">
        <v>5910</v>
      </c>
      <c r="F4" s="47" t="s">
        <v>168</v>
      </c>
      <c r="G4" s="47">
        <v>1324</v>
      </c>
      <c r="H4" s="47" t="s">
        <v>171</v>
      </c>
      <c r="I4" s="47">
        <v>2016</v>
      </c>
      <c r="J4" s="47">
        <v>2016</v>
      </c>
      <c r="K4" s="47" t="s">
        <v>42</v>
      </c>
      <c r="L4" s="47">
        <v>189601</v>
      </c>
      <c r="M4" s="49">
        <f t="shared" si="0"/>
        <v>0.12722115832374931</v>
      </c>
    </row>
    <row r="5" spans="1:14" x14ac:dyDescent="0.45">
      <c r="A5" t="s">
        <v>167</v>
      </c>
      <c r="B5" t="s">
        <v>31</v>
      </c>
      <c r="C5">
        <v>710</v>
      </c>
      <c r="D5" t="s">
        <v>30</v>
      </c>
      <c r="E5">
        <v>5910</v>
      </c>
      <c r="F5" t="s">
        <v>168</v>
      </c>
      <c r="G5">
        <v>1322</v>
      </c>
      <c r="H5" t="s">
        <v>169</v>
      </c>
      <c r="I5">
        <v>2017</v>
      </c>
      <c r="J5">
        <v>2017</v>
      </c>
      <c r="K5" t="s">
        <v>42</v>
      </c>
      <c r="L5">
        <v>299260</v>
      </c>
      <c r="M5" s="48">
        <f>L5/SUM($L$5:$L$7)</f>
        <v>0.17816870717842589</v>
      </c>
    </row>
    <row r="6" spans="1:14" s="50" customFormat="1" x14ac:dyDescent="0.45">
      <c r="A6" s="50" t="s">
        <v>167</v>
      </c>
      <c r="B6" s="50" t="s">
        <v>31</v>
      </c>
      <c r="C6" s="50">
        <v>710</v>
      </c>
      <c r="D6" s="50" t="s">
        <v>30</v>
      </c>
      <c r="E6" s="50">
        <v>5910</v>
      </c>
      <c r="F6" s="50" t="s">
        <v>168</v>
      </c>
      <c r="G6" s="50">
        <v>1323</v>
      </c>
      <c r="H6" s="50" t="s">
        <v>170</v>
      </c>
      <c r="I6" s="50">
        <v>2017</v>
      </c>
      <c r="J6" s="50">
        <v>2017</v>
      </c>
      <c r="K6" s="50" t="s">
        <v>42</v>
      </c>
      <c r="L6" s="50">
        <v>1170559</v>
      </c>
      <c r="M6" s="51">
        <f t="shared" ref="M6:M7" si="1">L6/SUM($L$5:$L$7)</f>
        <v>0.69690898785695066</v>
      </c>
    </row>
    <row r="7" spans="1:14" s="47" customFormat="1" x14ac:dyDescent="0.45">
      <c r="A7" s="47" t="s">
        <v>167</v>
      </c>
      <c r="B7" s="47" t="s">
        <v>31</v>
      </c>
      <c r="C7" s="47">
        <v>710</v>
      </c>
      <c r="D7" s="47" t="s">
        <v>30</v>
      </c>
      <c r="E7" s="47">
        <v>5910</v>
      </c>
      <c r="F7" s="47" t="s">
        <v>168</v>
      </c>
      <c r="G7" s="47">
        <v>1324</v>
      </c>
      <c r="H7" s="47" t="s">
        <v>171</v>
      </c>
      <c r="I7" s="47">
        <v>2017</v>
      </c>
      <c r="J7" s="47">
        <v>2017</v>
      </c>
      <c r="K7" s="47" t="s">
        <v>42</v>
      </c>
      <c r="L7" s="47">
        <v>209825</v>
      </c>
      <c r="M7" s="49">
        <f t="shared" si="1"/>
        <v>0.12492230496462346</v>
      </c>
    </row>
    <row r="8" spans="1:14" x14ac:dyDescent="0.45">
      <c r="A8" t="s">
        <v>167</v>
      </c>
      <c r="B8" t="s">
        <v>31</v>
      </c>
      <c r="C8">
        <v>710</v>
      </c>
      <c r="D8" t="s">
        <v>30</v>
      </c>
      <c r="E8">
        <v>5910</v>
      </c>
      <c r="F8" t="s">
        <v>168</v>
      </c>
      <c r="G8">
        <v>1322</v>
      </c>
      <c r="H8" t="s">
        <v>169</v>
      </c>
      <c r="I8">
        <v>2018</v>
      </c>
      <c r="J8">
        <v>2018</v>
      </c>
      <c r="K8" t="s">
        <v>42</v>
      </c>
      <c r="L8">
        <v>315246</v>
      </c>
      <c r="M8" s="48">
        <f>L8/SUM($L$8:$L$10)</f>
        <v>0.16998892968435311</v>
      </c>
    </row>
    <row r="9" spans="1:14" s="50" customFormat="1" x14ac:dyDescent="0.45">
      <c r="A9" s="50" t="s">
        <v>167</v>
      </c>
      <c r="B9" s="50" t="s">
        <v>31</v>
      </c>
      <c r="C9" s="50">
        <v>710</v>
      </c>
      <c r="D9" s="50" t="s">
        <v>30</v>
      </c>
      <c r="E9" s="50">
        <v>5910</v>
      </c>
      <c r="F9" s="50" t="s">
        <v>168</v>
      </c>
      <c r="G9" s="50">
        <v>1323</v>
      </c>
      <c r="H9" s="50" t="s">
        <v>170</v>
      </c>
      <c r="I9" s="50">
        <v>2018</v>
      </c>
      <c r="J9" s="50">
        <v>2018</v>
      </c>
      <c r="K9" s="50" t="s">
        <v>42</v>
      </c>
      <c r="L9" s="50">
        <v>1278379</v>
      </c>
      <c r="M9" s="51">
        <f t="shared" ref="M9:M10" si="2">L9/SUM($L$8:$L$10)</f>
        <v>0.68933555997840934</v>
      </c>
    </row>
    <row r="10" spans="1:14" s="47" customFormat="1" x14ac:dyDescent="0.45">
      <c r="A10" s="47" t="s">
        <v>167</v>
      </c>
      <c r="B10" s="47" t="s">
        <v>31</v>
      </c>
      <c r="C10" s="47">
        <v>710</v>
      </c>
      <c r="D10" s="47" t="s">
        <v>30</v>
      </c>
      <c r="E10" s="47">
        <v>5910</v>
      </c>
      <c r="F10" s="47" t="s">
        <v>168</v>
      </c>
      <c r="G10" s="47">
        <v>1324</v>
      </c>
      <c r="H10" s="47" t="s">
        <v>171</v>
      </c>
      <c r="I10" s="47">
        <v>2018</v>
      </c>
      <c r="J10" s="47">
        <v>2018</v>
      </c>
      <c r="K10" s="47" t="s">
        <v>42</v>
      </c>
      <c r="L10" s="47">
        <v>260884</v>
      </c>
      <c r="M10" s="49">
        <f t="shared" si="2"/>
        <v>0.14067551033723752</v>
      </c>
    </row>
    <row r="11" spans="1:14" x14ac:dyDescent="0.45">
      <c r="A11" t="s">
        <v>167</v>
      </c>
      <c r="B11" t="s">
        <v>31</v>
      </c>
      <c r="C11">
        <v>710</v>
      </c>
      <c r="D11" t="s">
        <v>30</v>
      </c>
      <c r="E11">
        <v>5910</v>
      </c>
      <c r="F11" t="s">
        <v>168</v>
      </c>
      <c r="G11">
        <v>1322</v>
      </c>
      <c r="H11" t="s">
        <v>169</v>
      </c>
      <c r="I11">
        <v>2019</v>
      </c>
      <c r="J11">
        <v>2019</v>
      </c>
      <c r="K11" t="s">
        <v>42</v>
      </c>
      <c r="L11">
        <v>349844</v>
      </c>
      <c r="M11" s="48">
        <f>L11/SUM($L$11:$L$13)</f>
        <v>0.19098321054915779</v>
      </c>
    </row>
    <row r="12" spans="1:14" s="50" customFormat="1" x14ac:dyDescent="0.45">
      <c r="A12" s="50" t="s">
        <v>167</v>
      </c>
      <c r="B12" s="50" t="s">
        <v>31</v>
      </c>
      <c r="C12" s="50">
        <v>710</v>
      </c>
      <c r="D12" s="50" t="s">
        <v>30</v>
      </c>
      <c r="E12" s="50">
        <v>5910</v>
      </c>
      <c r="F12" s="50" t="s">
        <v>168</v>
      </c>
      <c r="G12" s="50">
        <v>1323</v>
      </c>
      <c r="H12" s="50" t="s">
        <v>170</v>
      </c>
      <c r="I12" s="50">
        <v>2019</v>
      </c>
      <c r="J12" s="50">
        <v>2019</v>
      </c>
      <c r="K12" s="50" t="s">
        <v>42</v>
      </c>
      <c r="L12" s="50">
        <v>1186404</v>
      </c>
      <c r="M12" s="51">
        <f t="shared" ref="M12:M13" si="3">L12/SUM($L$11:$L$13)</f>
        <v>0.64766937528830848</v>
      </c>
    </row>
    <row r="13" spans="1:14" s="47" customFormat="1" x14ac:dyDescent="0.45">
      <c r="A13" s="47" t="s">
        <v>167</v>
      </c>
      <c r="B13" s="47" t="s">
        <v>31</v>
      </c>
      <c r="C13" s="47">
        <v>710</v>
      </c>
      <c r="D13" s="47" t="s">
        <v>30</v>
      </c>
      <c r="E13" s="47">
        <v>5910</v>
      </c>
      <c r="F13" s="47" t="s">
        <v>168</v>
      </c>
      <c r="G13" s="47">
        <v>1324</v>
      </c>
      <c r="H13" s="47" t="s">
        <v>171</v>
      </c>
      <c r="I13" s="47">
        <v>2019</v>
      </c>
      <c r="J13" s="47">
        <v>2019</v>
      </c>
      <c r="K13" s="47" t="s">
        <v>42</v>
      </c>
      <c r="L13" s="47">
        <v>295557</v>
      </c>
      <c r="M13" s="49">
        <f t="shared" si="3"/>
        <v>0.16134741416253368</v>
      </c>
    </row>
    <row r="14" spans="1:14" x14ac:dyDescent="0.45">
      <c r="A14" t="s">
        <v>167</v>
      </c>
      <c r="B14" t="s">
        <v>31</v>
      </c>
      <c r="C14">
        <v>710</v>
      </c>
      <c r="D14" t="s">
        <v>30</v>
      </c>
      <c r="E14">
        <v>5910</v>
      </c>
      <c r="F14" t="s">
        <v>168</v>
      </c>
      <c r="G14">
        <v>1322</v>
      </c>
      <c r="H14" t="s">
        <v>169</v>
      </c>
      <c r="I14">
        <v>2020</v>
      </c>
      <c r="J14">
        <v>2020</v>
      </c>
      <c r="K14" t="s">
        <v>42</v>
      </c>
      <c r="L14">
        <v>457886</v>
      </c>
      <c r="M14" s="48">
        <f>L14/SUM($L$14:$L$16)</f>
        <v>0.21731821409180135</v>
      </c>
    </row>
    <row r="15" spans="1:14" s="50" customFormat="1" x14ac:dyDescent="0.45">
      <c r="A15" s="50" t="s">
        <v>167</v>
      </c>
      <c r="B15" s="50" t="s">
        <v>31</v>
      </c>
      <c r="C15" s="50">
        <v>710</v>
      </c>
      <c r="D15" s="50" t="s">
        <v>30</v>
      </c>
      <c r="E15" s="50">
        <v>5910</v>
      </c>
      <c r="F15" s="50" t="s">
        <v>168</v>
      </c>
      <c r="G15" s="50">
        <v>1323</v>
      </c>
      <c r="H15" s="50" t="s">
        <v>170</v>
      </c>
      <c r="I15" s="50">
        <v>2020</v>
      </c>
      <c r="J15" s="50">
        <v>2020</v>
      </c>
      <c r="K15" s="50" t="s">
        <v>42</v>
      </c>
      <c r="L15" s="50">
        <v>1259671</v>
      </c>
      <c r="M15" s="51">
        <f t="shared" ref="M15:M16" si="4">L15/SUM($L$14:$L$16)</f>
        <v>0.59785503829170039</v>
      </c>
    </row>
    <row r="16" spans="1:14" s="47" customFormat="1" x14ac:dyDescent="0.45">
      <c r="A16" s="47" t="s">
        <v>167</v>
      </c>
      <c r="B16" s="47" t="s">
        <v>31</v>
      </c>
      <c r="C16" s="47">
        <v>710</v>
      </c>
      <c r="D16" s="47" t="s">
        <v>30</v>
      </c>
      <c r="E16" s="47">
        <v>5910</v>
      </c>
      <c r="F16" s="47" t="s">
        <v>168</v>
      </c>
      <c r="G16" s="47">
        <v>1324</v>
      </c>
      <c r="H16" s="47" t="s">
        <v>171</v>
      </c>
      <c r="I16" s="47">
        <v>2020</v>
      </c>
      <c r="J16" s="47">
        <v>2020</v>
      </c>
      <c r="K16" s="47" t="s">
        <v>42</v>
      </c>
      <c r="L16" s="47">
        <v>389427</v>
      </c>
      <c r="M16" s="49">
        <f t="shared" si="4"/>
        <v>0.18482674761649828</v>
      </c>
    </row>
    <row r="18" spans="13:13" x14ac:dyDescent="0.45">
      <c r="M18" s="52">
        <f>AVERAGE(M3,M6,M9,M12,M15)</f>
        <v>0.66912215303099065</v>
      </c>
    </row>
  </sheetData>
  <autoFilter ref="A1:N1" xr:uid="{00000000-0009-0000-0000-00000C000000}">
    <sortState xmlns:xlrd2="http://schemas.microsoft.com/office/spreadsheetml/2017/richdata2" ref="A2:N16">
      <sortCondition ref="I1"/>
    </sortState>
  </autoFilter>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A1C0EE-0181-40C7-8868-0B31DB4B567E}">
  <dimension ref="A1:M63"/>
  <sheetViews>
    <sheetView zoomScale="70" zoomScaleNormal="70" workbookViewId="0">
      <selection activeCell="E47" sqref="E47"/>
    </sheetView>
  </sheetViews>
  <sheetFormatPr defaultRowHeight="16" x14ac:dyDescent="0.45"/>
  <cols>
    <col min="1" max="1" width="31.81640625" customWidth="1"/>
    <col min="2" max="2" width="13.54296875" customWidth="1"/>
    <col min="3" max="3" width="13.6328125" customWidth="1"/>
    <col min="4" max="12" width="22" customWidth="1"/>
    <col min="13" max="13" width="20.08984375" customWidth="1"/>
  </cols>
  <sheetData>
    <row r="1" spans="1:13" x14ac:dyDescent="0.45">
      <c r="A1" t="s">
        <v>182</v>
      </c>
      <c r="D1" t="s">
        <v>438</v>
      </c>
    </row>
    <row r="2" spans="1:13" x14ac:dyDescent="0.45">
      <c r="A2" t="s">
        <v>183</v>
      </c>
      <c r="D2" t="s">
        <v>439</v>
      </c>
    </row>
    <row r="4" spans="1:13" ht="16.5" thickBot="1" x14ac:dyDescent="0.5">
      <c r="A4" s="22"/>
      <c r="B4" s="22"/>
      <c r="C4" s="22"/>
      <c r="D4" s="22"/>
      <c r="E4" s="22"/>
      <c r="F4" s="22"/>
      <c r="G4" s="22"/>
      <c r="H4" s="22"/>
      <c r="I4" s="22"/>
      <c r="J4" s="22"/>
      <c r="K4" s="22"/>
    </row>
    <row r="5" spans="1:13" x14ac:dyDescent="0.45">
      <c r="A5" s="162" t="s">
        <v>184</v>
      </c>
      <c r="B5" s="164" t="s">
        <v>452</v>
      </c>
      <c r="C5" s="164" t="s">
        <v>2</v>
      </c>
      <c r="D5" s="128">
        <v>1</v>
      </c>
      <c r="E5" s="128">
        <v>2</v>
      </c>
      <c r="F5" s="128">
        <v>3</v>
      </c>
      <c r="G5" s="128">
        <v>4</v>
      </c>
      <c r="H5" s="128">
        <v>5</v>
      </c>
      <c r="I5" s="128">
        <v>6</v>
      </c>
      <c r="J5" s="128">
        <v>7</v>
      </c>
      <c r="K5" s="158" t="s">
        <v>442</v>
      </c>
      <c r="L5" s="158" t="s">
        <v>441</v>
      </c>
    </row>
    <row r="6" spans="1:13" ht="32.5" thickBot="1" x14ac:dyDescent="0.5">
      <c r="A6" s="163"/>
      <c r="B6" s="165"/>
      <c r="C6" s="165"/>
      <c r="D6" s="133" t="s">
        <v>430</v>
      </c>
      <c r="E6" s="136" t="s">
        <v>448</v>
      </c>
      <c r="F6" s="129" t="s">
        <v>431</v>
      </c>
      <c r="G6" s="136" t="s">
        <v>432</v>
      </c>
      <c r="H6" s="129" t="s">
        <v>449</v>
      </c>
      <c r="I6" s="129" t="s">
        <v>433</v>
      </c>
      <c r="J6" s="129" t="s">
        <v>434</v>
      </c>
      <c r="K6" s="159"/>
      <c r="L6" s="159"/>
      <c r="M6" s="131" t="s">
        <v>453</v>
      </c>
    </row>
    <row r="7" spans="1:13" ht="16.5" thickBot="1" x14ac:dyDescent="0.5">
      <c r="A7" s="22" t="s">
        <v>199</v>
      </c>
      <c r="B7" s="22" t="s">
        <v>222</v>
      </c>
      <c r="C7" s="22" t="s">
        <v>200</v>
      </c>
      <c r="D7" s="139">
        <v>1.75956067024576E-3</v>
      </c>
      <c r="E7" s="137">
        <v>1.98775115401099E-3</v>
      </c>
      <c r="F7" s="33">
        <v>7.3828649247248022E-4</v>
      </c>
      <c r="G7" s="127">
        <v>5.4793762043580298E-3</v>
      </c>
      <c r="H7" s="33">
        <v>8.8311039564440905E-5</v>
      </c>
      <c r="I7" s="33">
        <v>1.6931230313099732E-5</v>
      </c>
      <c r="J7" s="33">
        <v>3.8663318279879948E-4</v>
      </c>
      <c r="K7" s="123">
        <v>1.04568499737636E-2</v>
      </c>
      <c r="L7" s="130">
        <f>SUM(D7,E7,G7)/SUM(D7:J7)</f>
        <v>0.88235826771586912</v>
      </c>
      <c r="M7" s="22"/>
    </row>
    <row r="8" spans="1:13" ht="16.5" thickBot="1" x14ac:dyDescent="0.5">
      <c r="A8" s="22" t="s">
        <v>186</v>
      </c>
      <c r="B8" s="22" t="s">
        <v>217</v>
      </c>
      <c r="C8" s="22" t="s">
        <v>187</v>
      </c>
      <c r="D8" s="33">
        <v>0.108554493139494</v>
      </c>
      <c r="E8" s="137">
        <v>0.22709591803338602</v>
      </c>
      <c r="F8" s="33">
        <v>5.5625863916350993E-2</v>
      </c>
      <c r="G8" s="127">
        <v>0.23852583595273602</v>
      </c>
      <c r="H8" s="33">
        <v>1.4084214973268949E-2</v>
      </c>
      <c r="I8" s="33">
        <v>1.2188563333464963E-2</v>
      </c>
      <c r="J8" s="139">
        <v>0.134351130316269</v>
      </c>
      <c r="K8" s="123">
        <v>0.79042601966496995</v>
      </c>
      <c r="L8" s="130">
        <f t="shared" ref="L8:L22" si="0">SUM(D8,E8,G8)/SUM(D8:J8)</f>
        <v>0.72641364636375005</v>
      </c>
      <c r="M8" s="22"/>
    </row>
    <row r="9" spans="1:13" ht="16.5" thickBot="1" x14ac:dyDescent="0.5">
      <c r="A9" s="22" t="s">
        <v>207</v>
      </c>
      <c r="B9" s="22" t="s">
        <v>308</v>
      </c>
      <c r="C9" s="22" t="s">
        <v>208</v>
      </c>
      <c r="D9" s="124">
        <v>8.7130908656629291</v>
      </c>
      <c r="E9" s="139">
        <v>1.1724659510627511</v>
      </c>
      <c r="F9" s="33">
        <v>0.11828519228721923</v>
      </c>
      <c r="G9" s="138">
        <v>1.5382820989500008</v>
      </c>
      <c r="H9" s="33">
        <v>7.7573374121300276E-2</v>
      </c>
      <c r="I9" s="33">
        <v>2.2113533730498958E-2</v>
      </c>
      <c r="J9" s="33">
        <v>1.1573222673863004</v>
      </c>
      <c r="K9" s="123">
        <v>12.799133283201</v>
      </c>
      <c r="L9" s="130">
        <f t="shared" si="0"/>
        <v>0.89254785171036488</v>
      </c>
      <c r="M9" s="22"/>
    </row>
    <row r="10" spans="1:13" ht="16.5" thickBot="1" x14ac:dyDescent="0.5">
      <c r="A10" s="22" t="s">
        <v>194</v>
      </c>
      <c r="B10" s="22" t="s">
        <v>221</v>
      </c>
      <c r="C10" s="22" t="s">
        <v>195</v>
      </c>
      <c r="D10" s="138">
        <v>1.02897905045543E-8</v>
      </c>
      <c r="E10" s="124">
        <v>1.5103024246465601E-8</v>
      </c>
      <c r="F10" s="33">
        <v>1.8586166870980989E-9</v>
      </c>
      <c r="G10" s="139">
        <v>8.4724925252342972E-9</v>
      </c>
      <c r="H10" s="33">
        <v>1.1203763955342044E-9</v>
      </c>
      <c r="I10" s="33">
        <v>8.7073783482639568E-10</v>
      </c>
      <c r="J10" s="33">
        <v>5.2340101852207035E-9</v>
      </c>
      <c r="K10" s="123">
        <v>4.2949048378933601E-8</v>
      </c>
      <c r="L10" s="130">
        <f t="shared" si="0"/>
        <v>0.78849959555483529</v>
      </c>
      <c r="M10" s="22"/>
    </row>
    <row r="11" spans="1:13" ht="16.5" thickBot="1" x14ac:dyDescent="0.5">
      <c r="A11" s="22" t="s">
        <v>203</v>
      </c>
      <c r="B11" s="22" t="s">
        <v>309</v>
      </c>
      <c r="C11" s="22" t="s">
        <v>204</v>
      </c>
      <c r="D11" s="137">
        <v>6.14726244105148E-4</v>
      </c>
      <c r="E11" s="140">
        <v>4.6087878615051205E-4</v>
      </c>
      <c r="F11" s="33">
        <v>9.3303084610169874E-5</v>
      </c>
      <c r="G11" s="124">
        <v>1.5219498824913002E-3</v>
      </c>
      <c r="H11" s="33">
        <v>1.3939528119989719E-5</v>
      </c>
      <c r="I11" s="33">
        <v>1.0810449647030099E-5</v>
      </c>
      <c r="J11" s="33">
        <v>1.0522836269034018E-4</v>
      </c>
      <c r="K11" s="123">
        <v>2.8208363378144901E-3</v>
      </c>
      <c r="L11" s="130">
        <f t="shared" si="0"/>
        <v>0.92084566478588314</v>
      </c>
      <c r="M11" s="22"/>
    </row>
    <row r="12" spans="1:13" ht="16.5" thickBot="1" x14ac:dyDescent="0.5">
      <c r="A12" s="22" t="s">
        <v>201</v>
      </c>
      <c r="B12" s="22" t="s">
        <v>307</v>
      </c>
      <c r="C12" s="22" t="s">
        <v>202</v>
      </c>
      <c r="D12" s="127">
        <v>2.1236630752148501E-5</v>
      </c>
      <c r="E12" s="137">
        <v>1.7864325253189098E-5</v>
      </c>
      <c r="F12" s="139">
        <v>4.4305350029557046E-6</v>
      </c>
      <c r="G12" s="33">
        <v>1.2128402682328972E-6</v>
      </c>
      <c r="H12" s="33">
        <v>4.7467125921089756E-7</v>
      </c>
      <c r="I12" s="33">
        <v>-3.2949763251798676E-8</v>
      </c>
      <c r="J12" s="33">
        <v>1.6781290411128983E-6</v>
      </c>
      <c r="K12" s="123">
        <v>4.6864181813598198E-5</v>
      </c>
      <c r="L12" s="130">
        <f t="shared" si="0"/>
        <v>0.86022618369649995</v>
      </c>
      <c r="M12" s="22"/>
    </row>
    <row r="13" spans="1:13" ht="16.5" thickBot="1" x14ac:dyDescent="0.5">
      <c r="A13" s="22" t="s">
        <v>205</v>
      </c>
      <c r="B13" s="22" t="s">
        <v>306</v>
      </c>
      <c r="C13" s="22" t="s">
        <v>206</v>
      </c>
      <c r="D13" s="138">
        <v>4.9714863860331497E-3</v>
      </c>
      <c r="E13" s="139">
        <v>3.7756820226044199E-3</v>
      </c>
      <c r="F13" s="33">
        <v>1.2043476484239809E-3</v>
      </c>
      <c r="G13" s="124">
        <v>1.6768341948162149E-2</v>
      </c>
      <c r="H13" s="33">
        <v>3.0459869489500233E-4</v>
      </c>
      <c r="I13" s="33">
        <v>5.874068557849832E-5</v>
      </c>
      <c r="J13" s="33">
        <v>1.1785276690372999E-3</v>
      </c>
      <c r="K13" s="123">
        <v>2.82617250547345E-2</v>
      </c>
      <c r="L13" s="130">
        <f t="shared" si="0"/>
        <v>0.90282919062384959</v>
      </c>
      <c r="M13" s="22"/>
    </row>
    <row r="14" spans="1:13" ht="16.5" thickBot="1" x14ac:dyDescent="0.5">
      <c r="A14" s="22" t="s">
        <v>198</v>
      </c>
      <c r="B14" s="22" t="s">
        <v>311</v>
      </c>
      <c r="C14" s="22" t="s">
        <v>197</v>
      </c>
      <c r="D14" s="137">
        <v>1.33569694992503E-10</v>
      </c>
      <c r="E14" s="127">
        <v>2.2891488563609901E-10</v>
      </c>
      <c r="F14" s="33">
        <v>3.5488387438447993E-11</v>
      </c>
      <c r="G14" s="139">
        <v>1.2333032531328398E-10</v>
      </c>
      <c r="H14" s="33">
        <v>1.764483083621504E-11</v>
      </c>
      <c r="I14" s="33">
        <v>1.093256534808994E-11</v>
      </c>
      <c r="J14" s="33">
        <v>9.050258502969308E-11</v>
      </c>
      <c r="K14" s="123">
        <v>6.4038327459433204E-10</v>
      </c>
      <c r="L14" s="130">
        <f t="shared" si="0"/>
        <v>0.75863147151936228</v>
      </c>
      <c r="M14" s="22"/>
    </row>
    <row r="15" spans="1:13" ht="16.5" thickBot="1" x14ac:dyDescent="0.5">
      <c r="A15" s="22" t="s">
        <v>196</v>
      </c>
      <c r="B15" s="22" t="s">
        <v>312</v>
      </c>
      <c r="C15" s="22" t="s">
        <v>197</v>
      </c>
      <c r="D15" s="124">
        <v>6.4660085471501097E-9</v>
      </c>
      <c r="E15" s="138">
        <v>4.8586299350165904E-9</v>
      </c>
      <c r="F15" s="33">
        <v>1.2692671801204002E-9</v>
      </c>
      <c r="G15" s="33">
        <v>1.1259099244377003E-9</v>
      </c>
      <c r="H15" s="33">
        <v>1.9063712020419912E-10</v>
      </c>
      <c r="I15" s="33">
        <v>3.425231778051001E-10</v>
      </c>
      <c r="J15" s="139">
        <v>1.3930414258632986E-9</v>
      </c>
      <c r="K15" s="123">
        <v>1.5646017310597398E-8</v>
      </c>
      <c r="L15" s="130">
        <f t="shared" si="0"/>
        <v>0.79576470864386462</v>
      </c>
      <c r="M15" s="22"/>
    </row>
    <row r="16" spans="1:13" ht="16.5" thickBot="1" x14ac:dyDescent="0.5">
      <c r="A16" s="22" t="s">
        <v>190</v>
      </c>
      <c r="B16" s="22" t="s">
        <v>219</v>
      </c>
      <c r="C16" s="22" t="s">
        <v>191</v>
      </c>
      <c r="D16" s="137">
        <v>1.4822873995130399E-3</v>
      </c>
      <c r="E16" s="127">
        <v>4.0981241088746505E-3</v>
      </c>
      <c r="F16" s="33">
        <v>7.0264754877672961E-4</v>
      </c>
      <c r="G16" s="33">
        <v>7.0730750833976081E-4</v>
      </c>
      <c r="H16" s="33">
        <v>3.0839345883005003E-4</v>
      </c>
      <c r="I16" s="33">
        <v>1.3594790928625998E-4</v>
      </c>
      <c r="J16" s="139">
        <v>7.4847274336057971E-4</v>
      </c>
      <c r="K16" s="123">
        <v>8.1831806769810701E-3</v>
      </c>
      <c r="L16" s="130">
        <f t="shared" si="0"/>
        <v>0.76837103626643977</v>
      </c>
      <c r="M16" s="22"/>
    </row>
    <row r="17" spans="1:13" ht="16.5" thickBot="1" x14ac:dyDescent="0.5">
      <c r="A17" s="22" t="s">
        <v>209</v>
      </c>
      <c r="B17" s="22" t="s">
        <v>223</v>
      </c>
      <c r="C17" s="22" t="s">
        <v>210</v>
      </c>
      <c r="D17" s="124">
        <v>17.543318090099</v>
      </c>
      <c r="E17" s="138">
        <v>11.993844091131802</v>
      </c>
      <c r="F17" s="33">
        <v>0.25538271574279747</v>
      </c>
      <c r="G17" s="139">
        <v>0.49613806441470132</v>
      </c>
      <c r="H17" s="33">
        <v>0.16771653632600092</v>
      </c>
      <c r="I17" s="33">
        <v>0.12715676438219958</v>
      </c>
      <c r="J17" s="33">
        <v>0.44909405503149813</v>
      </c>
      <c r="K17" s="123">
        <v>31.032650317127999</v>
      </c>
      <c r="L17" s="130">
        <f t="shared" si="0"/>
        <v>0.96779681847119192</v>
      </c>
      <c r="M17" s="22"/>
    </row>
    <row r="18" spans="1:13" ht="16.5" thickBot="1" x14ac:dyDescent="0.5">
      <c r="A18" s="22" t="s">
        <v>188</v>
      </c>
      <c r="B18" s="22" t="s">
        <v>218</v>
      </c>
      <c r="C18" s="22" t="s">
        <v>189</v>
      </c>
      <c r="D18" s="124">
        <v>4.6233226879090097E-9</v>
      </c>
      <c r="E18" s="139">
        <v>3.3998283749695698E-9</v>
      </c>
      <c r="F18" s="33">
        <v>1.9076985899486963E-10</v>
      </c>
      <c r="G18" s="138">
        <v>3.7018141570288516E-9</v>
      </c>
      <c r="H18" s="33">
        <v>3.0317130059640001E-10</v>
      </c>
      <c r="I18" s="33">
        <v>3.5089891695089961E-10</v>
      </c>
      <c r="J18" s="33">
        <v>2.031608990276299E-9</v>
      </c>
      <c r="K18" s="123">
        <v>1.4601414286725899E-8</v>
      </c>
      <c r="L18" s="130">
        <f t="shared" si="0"/>
        <v>0.80300202361675066</v>
      </c>
      <c r="M18" s="22"/>
    </row>
    <row r="19" spans="1:13" ht="16.5" thickBot="1" x14ac:dyDescent="0.5">
      <c r="A19" s="22" t="s">
        <v>192</v>
      </c>
      <c r="B19" s="22" t="s">
        <v>220</v>
      </c>
      <c r="C19" s="22" t="s">
        <v>193</v>
      </c>
      <c r="D19" s="139">
        <v>6.1741166194917701E-4</v>
      </c>
      <c r="E19" s="138">
        <v>1.1053599927560429E-3</v>
      </c>
      <c r="F19" s="33">
        <v>2.8638290584771992E-4</v>
      </c>
      <c r="G19" s="124">
        <v>4.5918274243588603E-3</v>
      </c>
      <c r="H19" s="33">
        <v>4.830573830248968E-5</v>
      </c>
      <c r="I19" s="33">
        <v>6.6299950492039808E-5</v>
      </c>
      <c r="J19" s="33">
        <v>4.1137624678899004E-4</v>
      </c>
      <c r="K19" s="123">
        <v>7.1269639204953198E-3</v>
      </c>
      <c r="L19" s="130">
        <f t="shared" si="0"/>
        <v>0.88601530041493737</v>
      </c>
      <c r="M19" s="22"/>
    </row>
    <row r="20" spans="1:13" ht="16.5" thickBot="1" x14ac:dyDescent="0.5">
      <c r="A20" s="22" t="s">
        <v>213</v>
      </c>
      <c r="B20" s="22" t="s">
        <v>225</v>
      </c>
      <c r="C20" s="22" t="s">
        <v>157</v>
      </c>
      <c r="D20" s="140">
        <v>1.6494606845492299</v>
      </c>
      <c r="E20" s="137">
        <v>2.8882664557551703</v>
      </c>
      <c r="F20" s="33">
        <v>0.72114098530575976</v>
      </c>
      <c r="G20" s="124">
        <v>3.0216577382242704</v>
      </c>
      <c r="H20" s="33">
        <v>0.17400716824925944</v>
      </c>
      <c r="I20" s="33">
        <v>0.16718415968614941</v>
      </c>
      <c r="J20" s="33">
        <v>1.1961575912363713</v>
      </c>
      <c r="K20" s="123">
        <v>9.8178747830062107</v>
      </c>
      <c r="L20" s="130">
        <f t="shared" si="0"/>
        <v>0.76996142705071291</v>
      </c>
      <c r="M20" s="22"/>
    </row>
    <row r="21" spans="1:13" ht="16.5" thickBot="1" x14ac:dyDescent="0.5">
      <c r="A21" s="22" t="s">
        <v>214</v>
      </c>
      <c r="B21" s="22" t="s">
        <v>226</v>
      </c>
      <c r="C21" s="22" t="s">
        <v>215</v>
      </c>
      <c r="D21" s="124">
        <v>1.8165935188836901E-6</v>
      </c>
      <c r="E21" s="139">
        <v>7.8486495061763992E-7</v>
      </c>
      <c r="F21" s="33">
        <v>3.0827041548727012E-7</v>
      </c>
      <c r="G21" s="33">
        <v>4.3052140814120981E-7</v>
      </c>
      <c r="H21" s="33">
        <v>1.9779649765463019E-7</v>
      </c>
      <c r="I21" s="33">
        <v>4.9098014769249784E-8</v>
      </c>
      <c r="J21" s="138">
        <v>8.6797644671747025E-7</v>
      </c>
      <c r="K21" s="123">
        <v>4.4551212522711602E-6</v>
      </c>
      <c r="L21" s="130">
        <f t="shared" si="0"/>
        <v>0.68056057421487193</v>
      </c>
      <c r="M21" s="22"/>
    </row>
    <row r="22" spans="1:13" ht="16.5" thickBot="1" x14ac:dyDescent="0.5">
      <c r="A22" s="22" t="s">
        <v>211</v>
      </c>
      <c r="B22" s="22" t="s">
        <v>224</v>
      </c>
      <c r="C22" s="22" t="s">
        <v>212</v>
      </c>
      <c r="D22" s="124">
        <v>9.2994600448328804</v>
      </c>
      <c r="E22" s="138">
        <v>7.2170999417869197E-2</v>
      </c>
      <c r="F22" s="33">
        <v>8.568429633809771E-3</v>
      </c>
      <c r="G22" s="33">
        <v>1.049349605126082E-2</v>
      </c>
      <c r="H22" s="33">
        <v>3.2276715420191948E-3</v>
      </c>
      <c r="I22" s="33">
        <v>2.9967194673510278E-3</v>
      </c>
      <c r="J22" s="139">
        <v>1.5346670984039079E-2</v>
      </c>
      <c r="K22" s="123">
        <v>9.4122640319292294</v>
      </c>
      <c r="L22" s="130">
        <f t="shared" si="0"/>
        <v>0.99679784889958711</v>
      </c>
      <c r="M22" s="22"/>
    </row>
    <row r="24" spans="1:13" ht="16.5" thickBot="1" x14ac:dyDescent="0.5"/>
    <row r="25" spans="1:13" x14ac:dyDescent="0.45">
      <c r="A25" s="162" t="s">
        <v>184</v>
      </c>
      <c r="B25" s="164" t="s">
        <v>452</v>
      </c>
      <c r="C25" s="164" t="s">
        <v>2</v>
      </c>
      <c r="D25" s="160" t="s">
        <v>443</v>
      </c>
      <c r="E25" s="160" t="s">
        <v>444</v>
      </c>
      <c r="F25" s="160" t="s">
        <v>445</v>
      </c>
      <c r="G25" s="160" t="s">
        <v>446</v>
      </c>
      <c r="H25" s="160" t="s">
        <v>447</v>
      </c>
      <c r="I25" s="160" t="s">
        <v>450</v>
      </c>
      <c r="J25" s="160" t="s">
        <v>451</v>
      </c>
      <c r="K25" s="31"/>
    </row>
    <row r="26" spans="1:13" ht="16.5" thickBot="1" x14ac:dyDescent="0.5">
      <c r="A26" s="163"/>
      <c r="B26" s="165"/>
      <c r="C26" s="165"/>
      <c r="D26" s="161"/>
      <c r="E26" s="161"/>
      <c r="F26" s="161"/>
      <c r="G26" s="161"/>
      <c r="H26" s="161"/>
      <c r="I26" s="161"/>
      <c r="J26" s="161"/>
      <c r="K26" s="135" t="s">
        <v>185</v>
      </c>
    </row>
    <row r="27" spans="1:13" x14ac:dyDescent="0.45">
      <c r="A27" s="22" t="s">
        <v>199</v>
      </c>
      <c r="B27" s="22" t="s">
        <v>222</v>
      </c>
      <c r="C27" s="22" t="s">
        <v>200</v>
      </c>
      <c r="D27" s="132">
        <f>D7/$K7</f>
        <v>0.16826871138636637</v>
      </c>
      <c r="E27" s="132">
        <f>E7/$K7</f>
        <v>0.19009081692845251</v>
      </c>
      <c r="F27" s="132">
        <f t="shared" ref="F27:J27" si="1">F7/$K7</f>
        <v>7.0603144763944456E-2</v>
      </c>
      <c r="G27" s="132">
        <f t="shared" si="1"/>
        <v>0.52399873940105002</v>
      </c>
      <c r="H27" s="132">
        <f t="shared" si="1"/>
        <v>8.445281302305636E-3</v>
      </c>
      <c r="I27" s="132">
        <f t="shared" si="1"/>
        <v>1.6191520730985387E-3</v>
      </c>
      <c r="J27" s="132">
        <f t="shared" si="1"/>
        <v>3.6974154144782431E-2</v>
      </c>
      <c r="K27" s="134">
        <f>SUM(D27:J27)</f>
        <v>0.99999999999999989</v>
      </c>
    </row>
    <row r="28" spans="1:13" x14ac:dyDescent="0.45">
      <c r="A28" s="22" t="s">
        <v>186</v>
      </c>
      <c r="B28" s="22" t="s">
        <v>217</v>
      </c>
      <c r="C28" s="22" t="s">
        <v>187</v>
      </c>
      <c r="D28" s="132">
        <f t="shared" ref="D28:J28" si="2">D8/$K8</f>
        <v>0.13733668988465983</v>
      </c>
      <c r="E28" s="132">
        <f t="shared" si="2"/>
        <v>0.28730825198497756</v>
      </c>
      <c r="F28" s="132">
        <f t="shared" si="2"/>
        <v>7.0374535418164214E-2</v>
      </c>
      <c r="G28" s="132">
        <f t="shared" si="2"/>
        <v>0.30176870449411269</v>
      </c>
      <c r="H28" s="132">
        <f t="shared" si="2"/>
        <v>1.7818511312720556E-2</v>
      </c>
      <c r="I28" s="132">
        <f t="shared" si="2"/>
        <v>1.5420245576722296E-2</v>
      </c>
      <c r="J28" s="132">
        <f t="shared" si="2"/>
        <v>0.16997306132864284</v>
      </c>
      <c r="K28" s="134">
        <f t="shared" ref="K28:K42" si="3">SUM(D28:J28)</f>
        <v>1</v>
      </c>
    </row>
    <row r="29" spans="1:13" x14ac:dyDescent="0.45">
      <c r="A29" s="22" t="s">
        <v>207</v>
      </c>
      <c r="B29" s="22" t="s">
        <v>308</v>
      </c>
      <c r="C29" s="22" t="s">
        <v>208</v>
      </c>
      <c r="D29" s="132">
        <f t="shared" ref="D29:J29" si="4">D9/$K9</f>
        <v>0.68075631942195292</v>
      </c>
      <c r="E29" s="132">
        <f t="shared" si="4"/>
        <v>9.1605105214555838E-2</v>
      </c>
      <c r="F29" s="132">
        <f t="shared" si="4"/>
        <v>9.2416564207882593E-3</v>
      </c>
      <c r="G29" s="132">
        <f t="shared" si="4"/>
        <v>0.12018642707385606</v>
      </c>
      <c r="H29" s="132">
        <f t="shared" si="4"/>
        <v>6.0608302456789135E-3</v>
      </c>
      <c r="I29" s="132">
        <f t="shared" si="4"/>
        <v>1.7277368116420202E-3</v>
      </c>
      <c r="J29" s="132">
        <f t="shared" si="4"/>
        <v>9.0421924811525972E-2</v>
      </c>
      <c r="K29" s="134">
        <f t="shared" si="3"/>
        <v>1</v>
      </c>
    </row>
    <row r="30" spans="1:13" x14ac:dyDescent="0.45">
      <c r="A30" s="22" t="s">
        <v>194</v>
      </c>
      <c r="B30" s="22" t="s">
        <v>221</v>
      </c>
      <c r="C30" s="22" t="s">
        <v>195</v>
      </c>
      <c r="D30" s="132">
        <f t="shared" ref="D30:J30" si="5">D10/$K10</f>
        <v>0.23958133865432549</v>
      </c>
      <c r="E30" s="132">
        <f t="shared" si="5"/>
        <v>0.35164979939051677</v>
      </c>
      <c r="F30" s="132">
        <f t="shared" si="5"/>
        <v>4.3274921267167019E-2</v>
      </c>
      <c r="G30" s="132">
        <f t="shared" si="5"/>
        <v>0.197268457509993</v>
      </c>
      <c r="H30" s="132">
        <f t="shared" si="5"/>
        <v>2.6086175080045456E-2</v>
      </c>
      <c r="I30" s="132">
        <f t="shared" si="5"/>
        <v>2.0273739877633479E-2</v>
      </c>
      <c r="J30" s="132">
        <f t="shared" si="5"/>
        <v>0.12186556822031876</v>
      </c>
      <c r="K30" s="134">
        <f t="shared" si="3"/>
        <v>1</v>
      </c>
    </row>
    <row r="31" spans="1:13" x14ac:dyDescent="0.45">
      <c r="A31" s="22" t="s">
        <v>203</v>
      </c>
      <c r="B31" s="22" t="s">
        <v>309</v>
      </c>
      <c r="C31" s="22" t="s">
        <v>204</v>
      </c>
      <c r="D31" s="132">
        <f t="shared" ref="D31:J31" si="6">D11/$K11</f>
        <v>0.21792339947712874</v>
      </c>
      <c r="E31" s="132">
        <f t="shared" si="6"/>
        <v>0.1633837383517219</v>
      </c>
      <c r="F31" s="132">
        <f t="shared" si="6"/>
        <v>3.3076390629049629E-2</v>
      </c>
      <c r="G31" s="132">
        <f t="shared" si="6"/>
        <v>0.53953852695703253</v>
      </c>
      <c r="H31" s="132">
        <f t="shared" si="6"/>
        <v>4.9416295206937454E-3</v>
      </c>
      <c r="I31" s="132">
        <f t="shared" si="6"/>
        <v>3.8323562066013912E-3</v>
      </c>
      <c r="J31" s="132">
        <f t="shared" si="6"/>
        <v>3.7303958857772074E-2</v>
      </c>
      <c r="K31" s="134">
        <f t="shared" si="3"/>
        <v>1</v>
      </c>
    </row>
    <row r="32" spans="1:13" x14ac:dyDescent="0.45">
      <c r="A32" s="22" t="s">
        <v>201</v>
      </c>
      <c r="B32" s="22" t="s">
        <v>307</v>
      </c>
      <c r="C32" s="22" t="s">
        <v>202</v>
      </c>
      <c r="D32" s="132">
        <f t="shared" ref="D32:J32" si="7">D12/$K12</f>
        <v>0.45315270490834519</v>
      </c>
      <c r="E32" s="132">
        <f t="shared" si="7"/>
        <v>0.38119358029644618</v>
      </c>
      <c r="F32" s="132">
        <f t="shared" si="7"/>
        <v>9.4539898734989386E-2</v>
      </c>
      <c r="G32" s="132">
        <f t="shared" si="7"/>
        <v>2.5879898491708592E-2</v>
      </c>
      <c r="H32" s="132">
        <f t="shared" si="7"/>
        <v>1.0128657768931027E-2</v>
      </c>
      <c r="I32" s="132">
        <f t="shared" si="7"/>
        <v>-7.0309054754985416E-4</v>
      </c>
      <c r="J32" s="132">
        <f t="shared" si="7"/>
        <v>3.5808350347129488E-2</v>
      </c>
      <c r="K32" s="134">
        <f t="shared" si="3"/>
        <v>1</v>
      </c>
    </row>
    <row r="33" spans="1:11" x14ac:dyDescent="0.45">
      <c r="A33" s="22" t="s">
        <v>205</v>
      </c>
      <c r="B33" s="22" t="s">
        <v>306</v>
      </c>
      <c r="C33" s="22" t="s">
        <v>206</v>
      </c>
      <c r="D33" s="132">
        <f t="shared" ref="D33:J33" si="8">D13/$K13</f>
        <v>0.17590880869461681</v>
      </c>
      <c r="E33" s="132">
        <f t="shared" si="8"/>
        <v>0.13359701204693111</v>
      </c>
      <c r="F33" s="132">
        <f t="shared" si="8"/>
        <v>4.2614088350641018E-2</v>
      </c>
      <c r="G33" s="132">
        <f t="shared" si="8"/>
        <v>0.59332336988230161</v>
      </c>
      <c r="H33" s="132">
        <f t="shared" si="8"/>
        <v>1.0777781409488835E-2</v>
      </c>
      <c r="I33" s="132">
        <f t="shared" si="8"/>
        <v>2.0784536494051656E-3</v>
      </c>
      <c r="J33" s="132">
        <f t="shared" si="8"/>
        <v>4.1700485966615436E-2</v>
      </c>
      <c r="K33" s="134">
        <f t="shared" si="3"/>
        <v>1</v>
      </c>
    </row>
    <row r="34" spans="1:11" x14ac:dyDescent="0.45">
      <c r="A34" s="22" t="s">
        <v>198</v>
      </c>
      <c r="B34" s="22" t="s">
        <v>311</v>
      </c>
      <c r="C34" s="22" t="s">
        <v>197</v>
      </c>
      <c r="D34" s="132">
        <f t="shared" ref="D34:J34" si="9">D14/$K14</f>
        <v>0.20857773819454656</v>
      </c>
      <c r="E34" s="132">
        <f t="shared" si="9"/>
        <v>0.35746543471347103</v>
      </c>
      <c r="F34" s="132">
        <f t="shared" si="9"/>
        <v>5.5417417734604429E-2</v>
      </c>
      <c r="G34" s="132">
        <f t="shared" si="9"/>
        <v>0.19258829861134472</v>
      </c>
      <c r="H34" s="132">
        <f t="shared" si="9"/>
        <v>2.7553547283683557E-2</v>
      </c>
      <c r="I34" s="132">
        <f t="shared" si="9"/>
        <v>1.7071909560747767E-2</v>
      </c>
      <c r="J34" s="132">
        <f t="shared" si="9"/>
        <v>0.14132565390160193</v>
      </c>
      <c r="K34" s="134">
        <f t="shared" si="3"/>
        <v>0.99999999999999989</v>
      </c>
    </row>
    <row r="35" spans="1:11" x14ac:dyDescent="0.45">
      <c r="A35" s="22" t="s">
        <v>196</v>
      </c>
      <c r="B35" s="22" t="s">
        <v>312</v>
      </c>
      <c r="C35" s="22" t="s">
        <v>197</v>
      </c>
      <c r="D35" s="132">
        <f t="shared" ref="D35:J35" si="10">D15/$K15</f>
        <v>0.41326865609247004</v>
      </c>
      <c r="E35" s="132">
        <f t="shared" si="10"/>
        <v>0.31053461328626625</v>
      </c>
      <c r="F35" s="132">
        <f t="shared" si="10"/>
        <v>8.112397902440624E-2</v>
      </c>
      <c r="G35" s="132">
        <f t="shared" si="10"/>
        <v>7.1961439265128269E-2</v>
      </c>
      <c r="H35" s="132">
        <f t="shared" si="10"/>
        <v>1.2184386378958965E-2</v>
      </c>
      <c r="I35" s="132">
        <f t="shared" si="10"/>
        <v>2.1892036229124039E-2</v>
      </c>
      <c r="J35" s="132">
        <f t="shared" si="10"/>
        <v>8.9034889723646191E-2</v>
      </c>
      <c r="K35" s="134">
        <f t="shared" si="3"/>
        <v>1</v>
      </c>
    </row>
    <row r="36" spans="1:11" x14ac:dyDescent="0.45">
      <c r="A36" s="22" t="s">
        <v>190</v>
      </c>
      <c r="B36" s="22" t="s">
        <v>219</v>
      </c>
      <c r="C36" s="22" t="s">
        <v>191</v>
      </c>
      <c r="D36" s="132">
        <f t="shared" ref="D36:J36" si="11">D16/$K16</f>
        <v>0.18113829548975371</v>
      </c>
      <c r="E36" s="132">
        <f t="shared" si="11"/>
        <v>0.50079843897404031</v>
      </c>
      <c r="F36" s="132">
        <f t="shared" si="11"/>
        <v>8.5864846019255869E-2</v>
      </c>
      <c r="G36" s="132">
        <f t="shared" si="11"/>
        <v>8.643430180264576E-2</v>
      </c>
      <c r="H36" s="132">
        <f t="shared" si="11"/>
        <v>3.768625807047709E-2</v>
      </c>
      <c r="I36" s="132">
        <f t="shared" si="11"/>
        <v>1.6613089048452212E-2</v>
      </c>
      <c r="J36" s="132">
        <f t="shared" si="11"/>
        <v>9.1464770595375083E-2</v>
      </c>
      <c r="K36" s="134">
        <f t="shared" si="3"/>
        <v>1</v>
      </c>
    </row>
    <row r="37" spans="1:11" x14ac:dyDescent="0.45">
      <c r="A37" s="22" t="s">
        <v>209</v>
      </c>
      <c r="B37" s="22" t="s">
        <v>223</v>
      </c>
      <c r="C37" s="22" t="s">
        <v>210</v>
      </c>
      <c r="D37" s="132">
        <f t="shared" ref="D37:J37" si="12">D17/$K17</f>
        <v>0.56531807341045026</v>
      </c>
      <c r="E37" s="132">
        <f t="shared" si="12"/>
        <v>0.38649113010215508</v>
      </c>
      <c r="F37" s="132">
        <f t="shared" si="12"/>
        <v>8.2294845310663927E-3</v>
      </c>
      <c r="G37" s="132">
        <f t="shared" si="12"/>
        <v>1.5987614958586551E-2</v>
      </c>
      <c r="H37" s="132">
        <f t="shared" si="12"/>
        <v>5.4045186154607081E-3</v>
      </c>
      <c r="I37" s="132">
        <f t="shared" si="12"/>
        <v>4.0975154581630218E-3</v>
      </c>
      <c r="J37" s="132">
        <f t="shared" si="12"/>
        <v>1.4471662924117942E-2</v>
      </c>
      <c r="K37" s="134">
        <f t="shared" si="3"/>
        <v>1</v>
      </c>
    </row>
    <row r="38" spans="1:11" x14ac:dyDescent="0.45">
      <c r="A38" s="22" t="s">
        <v>188</v>
      </c>
      <c r="B38" s="22" t="s">
        <v>218</v>
      </c>
      <c r="C38" s="22" t="s">
        <v>189</v>
      </c>
      <c r="D38" s="132">
        <f t="shared" ref="D38:J38" si="13">D18/$K18</f>
        <v>0.3166352654011097</v>
      </c>
      <c r="E38" s="132">
        <f t="shared" si="13"/>
        <v>0.23284240198980885</v>
      </c>
      <c r="F38" s="132">
        <f t="shared" si="13"/>
        <v>1.3065163089598651E-2</v>
      </c>
      <c r="G38" s="132">
        <f t="shared" si="13"/>
        <v>0.25352435622583214</v>
      </c>
      <c r="H38" s="132">
        <f t="shared" si="13"/>
        <v>2.0763146270838442E-2</v>
      </c>
      <c r="I38" s="132">
        <f t="shared" si="13"/>
        <v>2.4031844454266375E-2</v>
      </c>
      <c r="J38" s="132">
        <f t="shared" si="13"/>
        <v>0.13913782256854587</v>
      </c>
      <c r="K38" s="134">
        <f t="shared" si="3"/>
        <v>1</v>
      </c>
    </row>
    <row r="39" spans="1:11" x14ac:dyDescent="0.45">
      <c r="A39" s="22" t="s">
        <v>192</v>
      </c>
      <c r="B39" s="22" t="s">
        <v>220</v>
      </c>
      <c r="C39" s="22" t="s">
        <v>193</v>
      </c>
      <c r="D39" s="132">
        <f t="shared" ref="D39:J39" si="14">D19/$K19</f>
        <v>8.6630389719479214E-2</v>
      </c>
      <c r="E39" s="132">
        <f t="shared" si="14"/>
        <v>0.15509549439100023</v>
      </c>
      <c r="F39" s="132">
        <f t="shared" si="14"/>
        <v>4.0183016084051747E-2</v>
      </c>
      <c r="G39" s="132">
        <f t="shared" si="14"/>
        <v>0.64428941630445791</v>
      </c>
      <c r="H39" s="132">
        <f t="shared" si="14"/>
        <v>6.7778845019230097E-3</v>
      </c>
      <c r="I39" s="132">
        <f t="shared" si="14"/>
        <v>9.3026920343146618E-3</v>
      </c>
      <c r="J39" s="132">
        <f t="shared" si="14"/>
        <v>5.7721106964773249E-2</v>
      </c>
      <c r="K39" s="134">
        <f t="shared" si="3"/>
        <v>1</v>
      </c>
    </row>
    <row r="40" spans="1:11" x14ac:dyDescent="0.45">
      <c r="A40" s="22" t="s">
        <v>213</v>
      </c>
      <c r="B40" s="22" t="s">
        <v>225</v>
      </c>
      <c r="C40" s="22" t="s">
        <v>157</v>
      </c>
      <c r="D40" s="132">
        <f t="shared" ref="D40:J40" si="15">D20/$K20</f>
        <v>0.1680058791750213</v>
      </c>
      <c r="E40" s="132">
        <f t="shared" si="15"/>
        <v>0.29418448692730115</v>
      </c>
      <c r="F40" s="132">
        <f t="shared" si="15"/>
        <v>7.3451841793092013E-2</v>
      </c>
      <c r="G40" s="132">
        <f t="shared" si="15"/>
        <v>0.30777106094839046</v>
      </c>
      <c r="H40" s="132">
        <f t="shared" si="15"/>
        <v>1.7723506572975341E-2</v>
      </c>
      <c r="I40" s="132">
        <f t="shared" si="15"/>
        <v>1.7028548782831186E-2</v>
      </c>
      <c r="J40" s="132">
        <f t="shared" si="15"/>
        <v>0.12183467580038851</v>
      </c>
      <c r="K40" s="134">
        <f t="shared" si="3"/>
        <v>1</v>
      </c>
    </row>
    <row r="41" spans="1:11" x14ac:dyDescent="0.45">
      <c r="A41" s="22" t="s">
        <v>214</v>
      </c>
      <c r="B41" s="22" t="s">
        <v>226</v>
      </c>
      <c r="C41" s="22" t="s">
        <v>215</v>
      </c>
      <c r="D41" s="132">
        <f t="shared" ref="D41:J41" si="16">D21/$K21</f>
        <v>0.40775400174745308</v>
      </c>
      <c r="E41" s="132">
        <f t="shared" si="16"/>
        <v>0.17617140054662406</v>
      </c>
      <c r="F41" s="132">
        <f t="shared" si="16"/>
        <v>6.9194618514617987E-2</v>
      </c>
      <c r="G41" s="132">
        <f t="shared" si="16"/>
        <v>9.663517192079471E-2</v>
      </c>
      <c r="H41" s="132">
        <f t="shared" si="16"/>
        <v>4.439755653200151E-2</v>
      </c>
      <c r="I41" s="132">
        <f t="shared" si="16"/>
        <v>1.1020578787663812E-2</v>
      </c>
      <c r="J41" s="132">
        <f t="shared" si="16"/>
        <v>0.1948266719508448</v>
      </c>
      <c r="K41" s="134">
        <f t="shared" si="3"/>
        <v>1</v>
      </c>
    </row>
    <row r="42" spans="1:11" x14ac:dyDescent="0.45">
      <c r="A42" s="22" t="s">
        <v>211</v>
      </c>
      <c r="B42" s="22" t="s">
        <v>224</v>
      </c>
      <c r="C42" s="22" t="s">
        <v>212</v>
      </c>
      <c r="D42" s="132">
        <f t="shared" ref="D42:J42" si="17">D22/$K22</f>
        <v>0.9880152122046636</v>
      </c>
      <c r="E42" s="132">
        <f t="shared" si="17"/>
        <v>7.6677618873677439E-3</v>
      </c>
      <c r="F42" s="132">
        <f t="shared" si="17"/>
        <v>9.103473515769513E-4</v>
      </c>
      <c r="G42" s="132">
        <f t="shared" si="17"/>
        <v>1.11487480755573E-3</v>
      </c>
      <c r="H42" s="132">
        <f t="shared" si="17"/>
        <v>3.4292190816895518E-4</v>
      </c>
      <c r="I42" s="132">
        <f t="shared" si="17"/>
        <v>3.1838455202544831E-4</v>
      </c>
      <c r="J42" s="132">
        <f t="shared" si="17"/>
        <v>1.6304972886415593E-3</v>
      </c>
      <c r="K42" s="134">
        <f t="shared" si="3"/>
        <v>0.99999999999999989</v>
      </c>
    </row>
    <row r="43" spans="1:11" x14ac:dyDescent="0.45">
      <c r="K43" s="31"/>
    </row>
    <row r="44" spans="1:11" ht="16.5" thickBot="1" x14ac:dyDescent="0.5"/>
    <row r="45" spans="1:11" x14ac:dyDescent="0.45">
      <c r="A45" s="162" t="s">
        <v>184</v>
      </c>
      <c r="B45" s="164" t="s">
        <v>452</v>
      </c>
      <c r="C45" s="164" t="s">
        <v>2</v>
      </c>
      <c r="D45" s="166" t="s">
        <v>314</v>
      </c>
      <c r="E45" s="166" t="s">
        <v>315</v>
      </c>
    </row>
    <row r="46" spans="1:11" ht="16.5" thickBot="1" x14ac:dyDescent="0.5">
      <c r="A46" s="163"/>
      <c r="B46" s="165"/>
      <c r="C46" s="165"/>
      <c r="D46" s="167"/>
      <c r="E46" s="167"/>
    </row>
    <row r="47" spans="1:11" x14ac:dyDescent="0.45">
      <c r="A47" s="22" t="s">
        <v>199</v>
      </c>
      <c r="B47" s="22" t="s">
        <v>222</v>
      </c>
      <c r="C47" s="22" t="s">
        <v>200</v>
      </c>
      <c r="D47" s="141">
        <f>D27/$K27</f>
        <v>0.1682687113863664</v>
      </c>
      <c r="E47" s="141">
        <f>SUM(E27:J27)</f>
        <v>0.83173128861363355</v>
      </c>
    </row>
    <row r="48" spans="1:11" x14ac:dyDescent="0.45">
      <c r="A48" s="22" t="s">
        <v>186</v>
      </c>
      <c r="B48" s="22" t="s">
        <v>217</v>
      </c>
      <c r="C48" s="22" t="s">
        <v>187</v>
      </c>
      <c r="D48" s="141">
        <f t="shared" ref="D48" si="18">D28/$K28</f>
        <v>0.13733668988465983</v>
      </c>
      <c r="E48" s="141">
        <f t="shared" ref="E48:E62" si="19">SUM(E28:J28)</f>
        <v>0.86266331011534025</v>
      </c>
    </row>
    <row r="49" spans="1:5" x14ac:dyDescent="0.45">
      <c r="A49" s="22" t="s">
        <v>207</v>
      </c>
      <c r="B49" s="22" t="s">
        <v>308</v>
      </c>
      <c r="C49" s="22" t="s">
        <v>208</v>
      </c>
      <c r="D49" s="141">
        <f t="shared" ref="D49" si="20">D29/$K29</f>
        <v>0.68075631942195292</v>
      </c>
      <c r="E49" s="141">
        <f t="shared" si="19"/>
        <v>0.31924368057804703</v>
      </c>
    </row>
    <row r="50" spans="1:5" x14ac:dyDescent="0.45">
      <c r="A50" s="22" t="s">
        <v>194</v>
      </c>
      <c r="B50" s="22" t="s">
        <v>221</v>
      </c>
      <c r="C50" s="22" t="s">
        <v>195</v>
      </c>
      <c r="D50" s="141">
        <f t="shared" ref="D50" si="21">D30/$K30</f>
        <v>0.23958133865432549</v>
      </c>
      <c r="E50" s="141">
        <f t="shared" si="19"/>
        <v>0.76041866134567448</v>
      </c>
    </row>
    <row r="51" spans="1:5" x14ac:dyDescent="0.45">
      <c r="A51" s="22" t="s">
        <v>203</v>
      </c>
      <c r="B51" s="22" t="s">
        <v>309</v>
      </c>
      <c r="C51" s="22" t="s">
        <v>204</v>
      </c>
      <c r="D51" s="141">
        <f t="shared" ref="D51" si="22">D31/$K31</f>
        <v>0.21792339947712874</v>
      </c>
      <c r="E51" s="141">
        <f t="shared" si="19"/>
        <v>0.7820766005228712</v>
      </c>
    </row>
    <row r="52" spans="1:5" x14ac:dyDescent="0.45">
      <c r="A52" s="22" t="s">
        <v>201</v>
      </c>
      <c r="B52" s="22" t="s">
        <v>307</v>
      </c>
      <c r="C52" s="22" t="s">
        <v>202</v>
      </c>
      <c r="D52" s="141">
        <f t="shared" ref="D52" si="23">D32/$K32</f>
        <v>0.45315270490834519</v>
      </c>
      <c r="E52" s="141">
        <f t="shared" si="19"/>
        <v>0.54684729509165486</v>
      </c>
    </row>
    <row r="53" spans="1:5" x14ac:dyDescent="0.45">
      <c r="A53" s="22" t="s">
        <v>205</v>
      </c>
      <c r="B53" s="22" t="s">
        <v>306</v>
      </c>
      <c r="C53" s="22" t="s">
        <v>206</v>
      </c>
      <c r="D53" s="141">
        <f t="shared" ref="D53" si="24">D33/$K33</f>
        <v>0.17590880869461681</v>
      </c>
      <c r="E53" s="141">
        <f t="shared" si="19"/>
        <v>0.82409119130538322</v>
      </c>
    </row>
    <row r="54" spans="1:5" x14ac:dyDescent="0.45">
      <c r="A54" s="22" t="s">
        <v>198</v>
      </c>
      <c r="B54" s="22" t="s">
        <v>311</v>
      </c>
      <c r="C54" s="22" t="s">
        <v>197</v>
      </c>
      <c r="D54" s="141">
        <f t="shared" ref="D54" si="25">D34/$K34</f>
        <v>0.20857773819454659</v>
      </c>
      <c r="E54" s="141">
        <f t="shared" si="19"/>
        <v>0.79142226180545339</v>
      </c>
    </row>
    <row r="55" spans="1:5" x14ac:dyDescent="0.45">
      <c r="A55" s="22" t="s">
        <v>196</v>
      </c>
      <c r="B55" s="22" t="s">
        <v>312</v>
      </c>
      <c r="C55" s="22" t="s">
        <v>197</v>
      </c>
      <c r="D55" s="141">
        <f t="shared" ref="D55" si="26">D35/$K35</f>
        <v>0.41326865609247004</v>
      </c>
      <c r="E55" s="141">
        <f t="shared" si="19"/>
        <v>0.5867313439075299</v>
      </c>
    </row>
    <row r="56" spans="1:5" x14ac:dyDescent="0.45">
      <c r="A56" s="22" t="s">
        <v>190</v>
      </c>
      <c r="B56" s="22" t="s">
        <v>219</v>
      </c>
      <c r="C56" s="22" t="s">
        <v>191</v>
      </c>
      <c r="D56" s="141">
        <f t="shared" ref="D56" si="27">D36/$K36</f>
        <v>0.18113829548975371</v>
      </c>
      <c r="E56" s="141">
        <f t="shared" si="19"/>
        <v>0.81886170451024642</v>
      </c>
    </row>
    <row r="57" spans="1:5" x14ac:dyDescent="0.45">
      <c r="A57" s="22" t="s">
        <v>209</v>
      </c>
      <c r="B57" s="22" t="s">
        <v>223</v>
      </c>
      <c r="C57" s="22" t="s">
        <v>210</v>
      </c>
      <c r="D57" s="141">
        <f t="shared" ref="D57" si="28">D37/$K37</f>
        <v>0.56531807341045026</v>
      </c>
      <c r="E57" s="141">
        <f t="shared" si="19"/>
        <v>0.43468192658954963</v>
      </c>
    </row>
    <row r="58" spans="1:5" x14ac:dyDescent="0.45">
      <c r="A58" s="22" t="s">
        <v>188</v>
      </c>
      <c r="B58" s="22" t="s">
        <v>218</v>
      </c>
      <c r="C58" s="22" t="s">
        <v>189</v>
      </c>
      <c r="D58" s="141">
        <f t="shared" ref="D58" si="29">D38/$K38</f>
        <v>0.3166352654011097</v>
      </c>
      <c r="E58" s="141">
        <f t="shared" si="19"/>
        <v>0.68336473459889036</v>
      </c>
    </row>
    <row r="59" spans="1:5" x14ac:dyDescent="0.45">
      <c r="A59" s="22" t="s">
        <v>192</v>
      </c>
      <c r="B59" s="22" t="s">
        <v>220</v>
      </c>
      <c r="C59" s="22" t="s">
        <v>193</v>
      </c>
      <c r="D59" s="141">
        <f t="shared" ref="D59" si="30">D39/$K39</f>
        <v>8.6630389719479214E-2</v>
      </c>
      <c r="E59" s="141">
        <f t="shared" si="19"/>
        <v>0.91336961028052077</v>
      </c>
    </row>
    <row r="60" spans="1:5" x14ac:dyDescent="0.45">
      <c r="A60" s="22" t="s">
        <v>213</v>
      </c>
      <c r="B60" s="22" t="s">
        <v>225</v>
      </c>
      <c r="C60" s="22" t="s">
        <v>157</v>
      </c>
      <c r="D60" s="141">
        <f t="shared" ref="D60" si="31">D40/$K40</f>
        <v>0.1680058791750213</v>
      </c>
      <c r="E60" s="141">
        <f t="shared" si="19"/>
        <v>0.8319941208249787</v>
      </c>
    </row>
    <row r="61" spans="1:5" x14ac:dyDescent="0.45">
      <c r="A61" s="22" t="s">
        <v>214</v>
      </c>
      <c r="B61" s="22" t="s">
        <v>226</v>
      </c>
      <c r="C61" s="22" t="s">
        <v>215</v>
      </c>
      <c r="D61" s="141">
        <f t="shared" ref="D61" si="32">D41/$K41</f>
        <v>0.40775400174745308</v>
      </c>
      <c r="E61" s="141">
        <f t="shared" si="19"/>
        <v>0.59224599825254687</v>
      </c>
    </row>
    <row r="62" spans="1:5" x14ac:dyDescent="0.45">
      <c r="A62" s="22" t="s">
        <v>211</v>
      </c>
      <c r="B62" s="22" t="s">
        <v>224</v>
      </c>
      <c r="C62" s="22" t="s">
        <v>212</v>
      </c>
      <c r="D62" s="141">
        <f t="shared" ref="D62" si="33">D42/$K42</f>
        <v>0.98801521220466371</v>
      </c>
      <c r="E62" s="141">
        <f t="shared" si="19"/>
        <v>1.1984787795336387E-2</v>
      </c>
    </row>
    <row r="63" spans="1:5" x14ac:dyDescent="0.45">
      <c r="D63" s="61"/>
      <c r="E63" s="61"/>
    </row>
  </sheetData>
  <mergeCells count="20">
    <mergeCell ref="D45:D46"/>
    <mergeCell ref="E45:E46"/>
    <mergeCell ref="B5:B6"/>
    <mergeCell ref="C5:C6"/>
    <mergeCell ref="B25:B26"/>
    <mergeCell ref="C25:C26"/>
    <mergeCell ref="A45:A46"/>
    <mergeCell ref="B45:B46"/>
    <mergeCell ref="C45:C46"/>
    <mergeCell ref="A5:A6"/>
    <mergeCell ref="A25:A26"/>
    <mergeCell ref="L5:L6"/>
    <mergeCell ref="I25:I26"/>
    <mergeCell ref="J25:J26"/>
    <mergeCell ref="K5:K6"/>
    <mergeCell ref="D25:D26"/>
    <mergeCell ref="E25:E26"/>
    <mergeCell ref="F25:F26"/>
    <mergeCell ref="G25:G26"/>
    <mergeCell ref="H25:H26"/>
  </mergeCells>
  <phoneticPr fontId="29" type="noConversion"/>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960520-FD15-4AC9-8AF7-C388B92F037B}">
  <dimension ref="A1:U88"/>
  <sheetViews>
    <sheetView zoomScale="80" zoomScaleNormal="80" workbookViewId="0">
      <selection activeCell="J30" sqref="J30"/>
    </sheetView>
  </sheetViews>
  <sheetFormatPr defaultRowHeight="16" x14ac:dyDescent="0.45"/>
  <cols>
    <col min="1" max="1" width="32.26953125" customWidth="1"/>
    <col min="2" max="2" width="14.453125" customWidth="1"/>
    <col min="3" max="3" width="14.90625" customWidth="1"/>
    <col min="4" max="4" width="16.26953125" customWidth="1"/>
    <col min="5" max="5" width="13.6328125" customWidth="1"/>
    <col min="6" max="6" width="12" bestFit="1" customWidth="1"/>
    <col min="8" max="8" width="13.08984375" customWidth="1"/>
    <col min="9" max="9" width="19.36328125" customWidth="1"/>
    <col min="10" max="13" width="13.1796875" customWidth="1"/>
    <col min="14" max="14" width="18.1796875" customWidth="1"/>
    <col min="15" max="15" width="13.1796875" customWidth="1"/>
    <col min="16" max="16" width="11.6328125" customWidth="1"/>
    <col min="21" max="21" width="21.6328125" bestFit="1" customWidth="1"/>
  </cols>
  <sheetData>
    <row r="1" spans="1:12" x14ac:dyDescent="0.45">
      <c r="A1" t="s">
        <v>405</v>
      </c>
      <c r="B1" s="118" t="s">
        <v>440</v>
      </c>
      <c r="E1" s="125"/>
      <c r="F1" s="118"/>
    </row>
    <row r="2" spans="1:12" x14ac:dyDescent="0.45">
      <c r="A2" s="63" t="s">
        <v>406</v>
      </c>
      <c r="B2" s="63" t="s">
        <v>407</v>
      </c>
    </row>
    <row r="4" spans="1:12" x14ac:dyDescent="0.45">
      <c r="A4" s="70"/>
      <c r="B4" s="71" t="s">
        <v>260</v>
      </c>
      <c r="C4" s="71"/>
      <c r="D4" s="71"/>
      <c r="E4" s="71"/>
      <c r="F4" s="71"/>
      <c r="G4" s="71"/>
      <c r="H4" s="71" t="s">
        <v>260</v>
      </c>
      <c r="I4" s="71"/>
      <c r="J4" s="71"/>
      <c r="K4" s="71"/>
      <c r="L4" s="72"/>
    </row>
    <row r="5" spans="1:12" x14ac:dyDescent="0.45">
      <c r="A5" s="73"/>
      <c r="B5" s="168" t="s">
        <v>261</v>
      </c>
      <c r="C5" s="168"/>
      <c r="D5" s="168"/>
      <c r="E5" s="168"/>
      <c r="F5" s="74"/>
      <c r="G5" s="74"/>
      <c r="H5" s="168" t="s">
        <v>262</v>
      </c>
      <c r="I5" s="168"/>
      <c r="J5" s="168"/>
      <c r="K5" s="74"/>
      <c r="L5" s="75"/>
    </row>
    <row r="6" spans="1:12" ht="16.5" x14ac:dyDescent="0.45">
      <c r="A6" s="73"/>
      <c r="B6" s="76"/>
      <c r="C6" s="76"/>
      <c r="D6" s="76"/>
      <c r="E6" s="76"/>
      <c r="F6" s="74"/>
      <c r="G6" s="74"/>
      <c r="H6" s="74"/>
      <c r="I6" s="74"/>
      <c r="J6" s="74"/>
      <c r="K6" s="74"/>
      <c r="L6" s="75"/>
    </row>
    <row r="7" spans="1:12" ht="16.5" x14ac:dyDescent="0.45">
      <c r="A7" s="73"/>
      <c r="B7" s="76"/>
      <c r="C7" s="94" t="s">
        <v>184</v>
      </c>
      <c r="D7" s="94" t="s">
        <v>10</v>
      </c>
      <c r="E7" s="94" t="s">
        <v>263</v>
      </c>
      <c r="F7" s="74"/>
      <c r="G7" s="74"/>
      <c r="H7" s="76"/>
      <c r="I7" s="95" t="s">
        <v>184</v>
      </c>
      <c r="J7" s="95" t="s">
        <v>264</v>
      </c>
      <c r="K7" s="96" t="s">
        <v>265</v>
      </c>
      <c r="L7" s="75"/>
    </row>
    <row r="8" spans="1:12" ht="16.5" x14ac:dyDescent="0.45">
      <c r="A8" s="73"/>
      <c r="B8" s="77" t="s">
        <v>222</v>
      </c>
      <c r="C8" s="76" t="s">
        <v>266</v>
      </c>
      <c r="D8" s="76" t="s">
        <v>267</v>
      </c>
      <c r="E8" s="78">
        <v>55.6</v>
      </c>
      <c r="F8" s="74"/>
      <c r="G8" s="74"/>
      <c r="H8" s="77" t="s">
        <v>222</v>
      </c>
      <c r="I8" s="76" t="s">
        <v>266</v>
      </c>
      <c r="J8" s="79">
        <v>6.2E-2</v>
      </c>
      <c r="K8" s="80">
        <v>6.2E-2</v>
      </c>
      <c r="L8" s="75"/>
    </row>
    <row r="9" spans="1:12" ht="16.5" x14ac:dyDescent="0.45">
      <c r="A9" s="73"/>
      <c r="B9" s="77" t="s">
        <v>217</v>
      </c>
      <c r="C9" s="76" t="s">
        <v>268</v>
      </c>
      <c r="D9" s="76" t="s">
        <v>269</v>
      </c>
      <c r="E9" s="78">
        <v>7553.0831628511733</v>
      </c>
      <c r="F9" s="78"/>
      <c r="G9" s="74"/>
      <c r="H9" s="77" t="s">
        <v>217</v>
      </c>
      <c r="I9" s="76" t="s">
        <v>268</v>
      </c>
      <c r="J9" s="79">
        <v>0.21060000000000001</v>
      </c>
      <c r="K9" s="80">
        <v>0.21060000000000001</v>
      </c>
      <c r="L9" s="75"/>
    </row>
    <row r="10" spans="1:12" ht="16.5" x14ac:dyDescent="0.45">
      <c r="A10" s="73"/>
      <c r="B10" s="77" t="s">
        <v>270</v>
      </c>
      <c r="C10" s="76" t="s">
        <v>271</v>
      </c>
      <c r="D10" s="76" t="s">
        <v>272</v>
      </c>
      <c r="E10" s="78">
        <v>56716.586337059562</v>
      </c>
      <c r="F10" s="78"/>
      <c r="G10" s="74"/>
      <c r="H10" s="77" t="s">
        <v>270</v>
      </c>
      <c r="I10" s="76" t="s">
        <v>271</v>
      </c>
      <c r="J10" s="79">
        <v>1.9199999999999998E-2</v>
      </c>
      <c r="K10" s="80">
        <v>1.9199999999999998E-2</v>
      </c>
      <c r="L10" s="75"/>
    </row>
    <row r="11" spans="1:12" ht="16.5" x14ac:dyDescent="0.45">
      <c r="A11" s="73"/>
      <c r="B11" s="77" t="s">
        <v>221</v>
      </c>
      <c r="C11" s="76" t="s">
        <v>299</v>
      </c>
      <c r="D11" s="76" t="s">
        <v>300</v>
      </c>
      <c r="E11" s="78">
        <v>5.9500000000000004E-4</v>
      </c>
      <c r="F11" s="78"/>
      <c r="G11" s="74"/>
      <c r="H11" s="77" t="s">
        <v>221</v>
      </c>
      <c r="I11" s="76" t="s">
        <v>299</v>
      </c>
      <c r="J11" s="79">
        <v>8.9599999999999999E-2</v>
      </c>
      <c r="K11" s="80">
        <v>8.9599999999999999E-2</v>
      </c>
      <c r="L11" s="75"/>
    </row>
    <row r="12" spans="1:12" ht="16.5" x14ac:dyDescent="0.45">
      <c r="A12" s="73"/>
      <c r="B12" s="77" t="s">
        <v>279</v>
      </c>
      <c r="C12" s="76" t="s">
        <v>280</v>
      </c>
      <c r="D12" s="76" t="s">
        <v>281</v>
      </c>
      <c r="E12" s="78">
        <v>19.5</v>
      </c>
      <c r="F12" s="78"/>
      <c r="G12" s="74"/>
      <c r="H12" s="77" t="s">
        <v>279</v>
      </c>
      <c r="I12" s="76" t="s">
        <v>280</v>
      </c>
      <c r="J12" s="79">
        <v>2.9600000000000001E-2</v>
      </c>
      <c r="K12" s="80">
        <v>2.9600000000000001E-2</v>
      </c>
      <c r="L12" s="75"/>
    </row>
    <row r="13" spans="1:12" ht="16.5" x14ac:dyDescent="0.45">
      <c r="A13" s="73"/>
      <c r="B13" s="77" t="s">
        <v>276</v>
      </c>
      <c r="C13" s="76" t="s">
        <v>277</v>
      </c>
      <c r="D13" s="76" t="s">
        <v>278</v>
      </c>
      <c r="E13" s="78">
        <v>1.61</v>
      </c>
      <c r="F13" s="78"/>
      <c r="G13" s="74"/>
      <c r="H13" s="77" t="s">
        <v>276</v>
      </c>
      <c r="I13" s="76" t="s">
        <v>277</v>
      </c>
      <c r="J13" s="79">
        <v>2.8000000000000001E-2</v>
      </c>
      <c r="K13" s="80">
        <v>2.8000000000000001E-2</v>
      </c>
      <c r="L13" s="75"/>
    </row>
    <row r="14" spans="1:12" ht="16.5" x14ac:dyDescent="0.45">
      <c r="A14" s="73"/>
      <c r="B14" s="77" t="s">
        <v>282</v>
      </c>
      <c r="C14" s="76" t="s">
        <v>283</v>
      </c>
      <c r="D14" s="76" t="s">
        <v>284</v>
      </c>
      <c r="E14" s="78">
        <v>177</v>
      </c>
      <c r="F14" s="78"/>
      <c r="G14" s="74"/>
      <c r="H14" s="77" t="s">
        <v>282</v>
      </c>
      <c r="I14" s="76" t="s">
        <v>283</v>
      </c>
      <c r="J14" s="79">
        <v>3.7100000000000001E-2</v>
      </c>
      <c r="K14" s="80">
        <v>3.7100000000000001E-2</v>
      </c>
      <c r="L14" s="75"/>
    </row>
    <row r="15" spans="1:12" ht="16.5" x14ac:dyDescent="0.45">
      <c r="A15" s="73"/>
      <c r="B15" s="77" t="s">
        <v>285</v>
      </c>
      <c r="C15" s="76" t="s">
        <v>286</v>
      </c>
      <c r="D15" s="76" t="s">
        <v>287</v>
      </c>
      <c r="E15" s="78">
        <v>1.725289765387052E-5</v>
      </c>
      <c r="F15" s="78"/>
      <c r="G15" s="74"/>
      <c r="H15" s="77" t="s">
        <v>285</v>
      </c>
      <c r="I15" s="76" t="s">
        <v>286</v>
      </c>
      <c r="J15" s="79">
        <v>2.1299999999999999E-2</v>
      </c>
      <c r="K15" s="80">
        <v>2.1299999999999999E-2</v>
      </c>
      <c r="L15" s="75"/>
    </row>
    <row r="16" spans="1:12" ht="16.5" x14ac:dyDescent="0.45">
      <c r="A16" s="73"/>
      <c r="B16" s="77" t="s">
        <v>288</v>
      </c>
      <c r="C16" s="76" t="s">
        <v>289</v>
      </c>
      <c r="D16" s="76" t="s">
        <v>287</v>
      </c>
      <c r="E16" s="78">
        <v>1.2873573500807206E-4</v>
      </c>
      <c r="F16" s="78"/>
      <c r="G16" s="74"/>
      <c r="H16" s="77" t="s">
        <v>288</v>
      </c>
      <c r="I16" s="76" t="s">
        <v>289</v>
      </c>
      <c r="J16" s="79">
        <v>1.84E-2</v>
      </c>
      <c r="K16" s="80">
        <v>1.84E-2</v>
      </c>
      <c r="L16" s="75"/>
    </row>
    <row r="17" spans="1:21" ht="16.5" x14ac:dyDescent="0.45">
      <c r="A17" s="73"/>
      <c r="B17" s="77" t="s">
        <v>219</v>
      </c>
      <c r="C17" s="76" t="s">
        <v>290</v>
      </c>
      <c r="D17" s="76" t="s">
        <v>291</v>
      </c>
      <c r="E17" s="78">
        <v>4220</v>
      </c>
      <c r="F17" s="78"/>
      <c r="G17" s="74"/>
      <c r="H17" s="77" t="s">
        <v>219</v>
      </c>
      <c r="I17" s="76" t="s">
        <v>290</v>
      </c>
      <c r="J17" s="79">
        <v>5.0099999999999999E-2</v>
      </c>
      <c r="K17" s="80">
        <v>5.0099999999999999E-2</v>
      </c>
      <c r="L17" s="75"/>
    </row>
    <row r="18" spans="1:21" ht="16.5" x14ac:dyDescent="0.45">
      <c r="A18" s="73"/>
      <c r="B18" s="77" t="s">
        <v>223</v>
      </c>
      <c r="C18" s="76" t="s">
        <v>292</v>
      </c>
      <c r="D18" s="76" t="s">
        <v>293</v>
      </c>
      <c r="E18" s="78">
        <v>819000</v>
      </c>
      <c r="F18" s="78"/>
      <c r="G18" s="74"/>
      <c r="H18" s="77" t="s">
        <v>223</v>
      </c>
      <c r="I18" s="76" t="s">
        <v>292</v>
      </c>
      <c r="J18" s="79">
        <v>7.9399999999999998E-2</v>
      </c>
      <c r="K18" s="80">
        <v>7.9399999999999998E-2</v>
      </c>
      <c r="L18" s="75"/>
    </row>
    <row r="19" spans="1:21" ht="16.5" x14ac:dyDescent="0.45">
      <c r="A19" s="73"/>
      <c r="B19" s="77" t="s">
        <v>218</v>
      </c>
      <c r="C19" s="76" t="s">
        <v>297</v>
      </c>
      <c r="D19" s="76" t="s">
        <v>298</v>
      </c>
      <c r="E19" s="78">
        <v>5.23483833840181E-2</v>
      </c>
      <c r="F19" s="78"/>
      <c r="G19" s="74"/>
      <c r="H19" s="77" t="s">
        <v>218</v>
      </c>
      <c r="I19" s="76" t="s">
        <v>297</v>
      </c>
      <c r="J19" s="79">
        <v>6.3100000000000003E-2</v>
      </c>
      <c r="K19" s="80">
        <v>6.3100000000000003E-2</v>
      </c>
      <c r="L19" s="75"/>
    </row>
    <row r="20" spans="1:21" ht="16.5" x14ac:dyDescent="0.45">
      <c r="A20" s="73"/>
      <c r="B20" s="77" t="s">
        <v>220</v>
      </c>
      <c r="C20" s="76" t="s">
        <v>301</v>
      </c>
      <c r="D20" s="76" t="s">
        <v>302</v>
      </c>
      <c r="E20" s="78">
        <v>40.859197734777169</v>
      </c>
      <c r="F20" s="78"/>
      <c r="G20" s="74"/>
      <c r="H20" s="77" t="s">
        <v>220</v>
      </c>
      <c r="I20" s="76" t="s">
        <v>301</v>
      </c>
      <c r="J20" s="79">
        <v>4.7800000000000002E-2</v>
      </c>
      <c r="K20" s="80">
        <v>4.7800000000000002E-2</v>
      </c>
      <c r="L20" s="75"/>
    </row>
    <row r="21" spans="1:21" ht="16.5" x14ac:dyDescent="0.45">
      <c r="A21" s="73"/>
      <c r="B21" s="77" t="s">
        <v>273</v>
      </c>
      <c r="C21" s="76" t="s">
        <v>274</v>
      </c>
      <c r="D21" s="76" t="s">
        <v>275</v>
      </c>
      <c r="E21" s="78">
        <v>65000</v>
      </c>
      <c r="F21" s="78"/>
      <c r="G21" s="74"/>
      <c r="H21" s="77" t="s">
        <v>273</v>
      </c>
      <c r="I21" s="76" t="s">
        <v>274</v>
      </c>
      <c r="J21" s="79">
        <v>8.3199999999999996E-2</v>
      </c>
      <c r="K21" s="80">
        <v>8.3199999999999996E-2</v>
      </c>
      <c r="L21" s="75"/>
    </row>
    <row r="22" spans="1:21" ht="16.5" x14ac:dyDescent="0.45">
      <c r="A22" s="73"/>
      <c r="B22" s="77" t="s">
        <v>294</v>
      </c>
      <c r="C22" s="76" t="s">
        <v>295</v>
      </c>
      <c r="D22" s="76" t="s">
        <v>296</v>
      </c>
      <c r="E22" s="78">
        <v>6.3600000000000004E-2</v>
      </c>
      <c r="F22" s="78"/>
      <c r="G22" s="74"/>
      <c r="H22" s="77" t="s">
        <v>294</v>
      </c>
      <c r="I22" s="76" t="s">
        <v>295</v>
      </c>
      <c r="J22" s="79">
        <v>7.5499999999999998E-2</v>
      </c>
      <c r="K22" s="80">
        <v>7.5499999999999998E-2</v>
      </c>
      <c r="L22" s="75"/>
    </row>
    <row r="23" spans="1:21" ht="16.5" x14ac:dyDescent="0.45">
      <c r="A23" s="73"/>
      <c r="B23" s="77" t="s">
        <v>224</v>
      </c>
      <c r="C23" s="76" t="s">
        <v>303</v>
      </c>
      <c r="D23" s="76" t="s">
        <v>304</v>
      </c>
      <c r="E23" s="78">
        <v>11500</v>
      </c>
      <c r="F23" s="74"/>
      <c r="G23" s="74"/>
      <c r="H23" s="77" t="s">
        <v>224</v>
      </c>
      <c r="I23" s="76" t="s">
        <v>303</v>
      </c>
      <c r="J23" s="79">
        <v>8.5099999999999995E-2</v>
      </c>
      <c r="K23" s="80">
        <v>8.5099999999999995E-2</v>
      </c>
      <c r="L23" s="75"/>
    </row>
    <row r="24" spans="1:21" x14ac:dyDescent="0.45">
      <c r="A24" s="81"/>
      <c r="B24" s="82"/>
      <c r="C24" s="82"/>
      <c r="D24" s="82"/>
      <c r="E24" s="82"/>
      <c r="F24" s="82"/>
      <c r="G24" s="82"/>
      <c r="H24" s="82"/>
      <c r="I24" s="82"/>
      <c r="J24" s="82"/>
      <c r="K24" s="82"/>
      <c r="L24" s="83"/>
    </row>
    <row r="27" spans="1:21" x14ac:dyDescent="0.45">
      <c r="A27" s="63" t="s">
        <v>305</v>
      </c>
    </row>
    <row r="28" spans="1:21" ht="32" customHeight="1" x14ac:dyDescent="0.45">
      <c r="A28" s="63"/>
      <c r="I28" s="102" t="s">
        <v>424</v>
      </c>
      <c r="J28" s="169" t="s">
        <v>315</v>
      </c>
      <c r="K28" s="169"/>
      <c r="L28" s="169"/>
      <c r="M28" s="169"/>
      <c r="N28" s="169"/>
      <c r="O28" s="169"/>
    </row>
    <row r="29" spans="1:21" s="98" customFormat="1" ht="48" x14ac:dyDescent="0.45">
      <c r="A29" s="97" t="s">
        <v>184</v>
      </c>
      <c r="C29" s="97" t="s">
        <v>2</v>
      </c>
      <c r="D29" s="97" t="s">
        <v>408</v>
      </c>
      <c r="E29" s="97" t="s">
        <v>409</v>
      </c>
      <c r="F29" s="97" t="s">
        <v>410</v>
      </c>
      <c r="G29" s="97" t="s">
        <v>411</v>
      </c>
      <c r="I29" s="102" t="s">
        <v>426</v>
      </c>
      <c r="J29" s="102" t="s">
        <v>423</v>
      </c>
      <c r="K29" s="102" t="s">
        <v>422</v>
      </c>
      <c r="L29" s="102" t="s">
        <v>421</v>
      </c>
      <c r="M29" s="102" t="s">
        <v>427</v>
      </c>
      <c r="N29" s="102" t="s">
        <v>428</v>
      </c>
      <c r="O29" s="102" t="s">
        <v>429</v>
      </c>
      <c r="P29" s="103" t="s">
        <v>425</v>
      </c>
      <c r="R29" t="s">
        <v>314</v>
      </c>
      <c r="S29" t="s">
        <v>315</v>
      </c>
      <c r="T29" t="s">
        <v>316</v>
      </c>
    </row>
    <row r="30" spans="1:21" s="2" customFormat="1" x14ac:dyDescent="0.45">
      <c r="A30" s="61" t="s">
        <v>199</v>
      </c>
      <c r="B30" t="s">
        <v>222</v>
      </c>
      <c r="C30" s="61" t="s">
        <v>200</v>
      </c>
      <c r="D30" s="123">
        <f>'LCA results'!K7</f>
        <v>1.04568499737636E-2</v>
      </c>
      <c r="E30" s="99">
        <f>D30/E8</f>
        <v>1.8807284125474101E-4</v>
      </c>
      <c r="F30" s="99">
        <f>E30*K8</f>
        <v>1.1660516157793942E-5</v>
      </c>
      <c r="G30" s="142">
        <f>F30/$F$46</f>
        <v>7.4027990421190348E-2</v>
      </c>
      <c r="H30" s="22"/>
      <c r="I30" s="126">
        <f>'LCA results'!D27*'LCA results_weighting'!$F30</f>
        <v>1.9621000279718907E-6</v>
      </c>
      <c r="J30" s="126">
        <f>'LCA results'!E27*'LCA results_weighting'!$F30</f>
        <v>2.2165570422424707E-6</v>
      </c>
      <c r="K30" s="126">
        <f>'LCA results'!F27*'LCA results_weighting'!$F30</f>
        <v>8.2326911031103906E-7</v>
      </c>
      <c r="L30" s="126">
        <f>'LCA results'!G27*'LCA results_weighting'!$F30</f>
        <v>6.1100957674496006E-6</v>
      </c>
      <c r="M30" s="126">
        <f>'LCA results'!H27*'LCA results_weighting'!$F30</f>
        <v>9.8476339082649941E-8</v>
      </c>
      <c r="N30" s="126">
        <f>'LCA results'!I27*'LCA results_weighting'!$F30</f>
        <v>1.888014891029107E-8</v>
      </c>
      <c r="O30" s="126">
        <f>'LCA results'!J27*'LCA results_weighting'!$F30</f>
        <v>4.311377218259994E-7</v>
      </c>
      <c r="P30" s="121">
        <f>SUM(I30:O30)</f>
        <v>1.1660516157793942E-5</v>
      </c>
      <c r="R30" s="105">
        <f>I46</f>
        <v>8.8451638942907938E-5</v>
      </c>
      <c r="S30" s="105">
        <f>SUM(J46:O46)</f>
        <v>6.9063323863054524E-5</v>
      </c>
      <c r="T30" s="22">
        <f>SUM(R30:S30)</f>
        <v>1.5751496280596246E-4</v>
      </c>
    </row>
    <row r="31" spans="1:21" s="61" customFormat="1" x14ac:dyDescent="0.45">
      <c r="A31" s="61" t="s">
        <v>186</v>
      </c>
      <c r="B31" t="s">
        <v>217</v>
      </c>
      <c r="C31" s="61" t="s">
        <v>187</v>
      </c>
      <c r="D31" s="123">
        <f>'LCA results'!K8</f>
        <v>0.79042601966496995</v>
      </c>
      <c r="E31" s="99">
        <f t="shared" ref="E31:E45" si="0">D31/E9</f>
        <v>1.0464945276288951E-4</v>
      </c>
      <c r="F31" s="99">
        <f t="shared" ref="F31:F45" si="1">E31*K9</f>
        <v>2.2039174751864533E-5</v>
      </c>
      <c r="G31" s="142">
        <f t="shared" ref="G31:G45" si="2">F31/$F$46</f>
        <v>0.13991797578629958</v>
      </c>
      <c r="H31" s="22"/>
      <c r="I31" s="126">
        <f>'LCA results'!D28*'LCA results_weighting'!$F31</f>
        <v>3.0267873082106441E-6</v>
      </c>
      <c r="J31" s="126">
        <f>'LCA results'!E28*'LCA results_weighting'!$F31</f>
        <v>6.3320367731496504E-6</v>
      </c>
      <c r="K31" s="126">
        <f>'LCA results'!F28*'LCA results_weighting'!$F31</f>
        <v>1.550996684162201E-6</v>
      </c>
      <c r="L31" s="126">
        <f>'LCA results'!G28*'LCA results_weighting'!$F31</f>
        <v>6.6507332129895178E-6</v>
      </c>
      <c r="M31" s="126">
        <f>'LCA results'!H28*'LCA results_weighting'!$F31</f>
        <v>3.9270528463912344E-7</v>
      </c>
      <c r="N31" s="126">
        <f>'LCA results'!I28*'LCA results_weighting'!$F31</f>
        <v>3.3984948698204879E-7</v>
      </c>
      <c r="O31" s="126">
        <f>'LCA results'!J28*'LCA results_weighting'!$F31</f>
        <v>3.7460660017313471E-6</v>
      </c>
      <c r="P31" s="121">
        <f t="shared" ref="P31:P45" si="3">SUM(I31:O31)</f>
        <v>2.2039174751864533E-5</v>
      </c>
      <c r="Q31" s="2"/>
      <c r="R31" s="84">
        <f>R30/T30</f>
        <v>0.56154435976897399</v>
      </c>
      <c r="S31" s="84">
        <f>S30/T30</f>
        <v>0.43845564023102601</v>
      </c>
      <c r="T31"/>
      <c r="U31" s="143"/>
    </row>
    <row r="32" spans="1:21" s="2" customFormat="1" x14ac:dyDescent="0.45">
      <c r="A32" s="61" t="s">
        <v>207</v>
      </c>
      <c r="B32" t="s">
        <v>308</v>
      </c>
      <c r="C32" s="61" t="s">
        <v>208</v>
      </c>
      <c r="D32" s="123">
        <f>'LCA results'!K9</f>
        <v>12.799133283201</v>
      </c>
      <c r="E32" s="99">
        <f t="shared" si="0"/>
        <v>2.2566825879007167E-4</v>
      </c>
      <c r="F32" s="99">
        <f t="shared" si="1"/>
        <v>4.3328305687693755E-6</v>
      </c>
      <c r="G32" s="142">
        <f t="shared" si="2"/>
        <v>2.7507422098730062E-2</v>
      </c>
      <c r="H32" s="22"/>
      <c r="I32" s="126">
        <f>'LCA results'!D29*'LCA results_weighting'!$F32</f>
        <v>2.949601790674367E-6</v>
      </c>
      <c r="J32" s="126">
        <f>'LCA results'!E29*'LCA results_weighting'!$F32</f>
        <v>3.9690940012896243E-7</v>
      </c>
      <c r="K32" s="126">
        <f>'LCA results'!F29*'LCA results_weighting'!$F32</f>
        <v>4.0042531446055143E-8</v>
      </c>
      <c r="L32" s="126">
        <f>'LCA results'!G29*'LCA results_weighting'!$F32</f>
        <v>5.2074742517677485E-7</v>
      </c>
      <c r="M32" s="126">
        <f>'LCA results'!H29*'LCA results_weighting'!$F32</f>
        <v>2.6260550560599599E-8</v>
      </c>
      <c r="N32" s="126">
        <f>'LCA results'!I29*'LCA results_weighting'!$F32</f>
        <v>7.4859908722706812E-9</v>
      </c>
      <c r="O32" s="126">
        <f>'LCA results'!J29*'LCA results_weighting'!$F32</f>
        <v>3.9178287991034579E-7</v>
      </c>
      <c r="P32" s="121">
        <f t="shared" si="3"/>
        <v>4.3328305687693755E-6</v>
      </c>
      <c r="U32" s="144"/>
    </row>
    <row r="33" spans="1:18" s="2" customFormat="1" x14ac:dyDescent="0.45">
      <c r="A33" s="61" t="s">
        <v>194</v>
      </c>
      <c r="B33" t="s">
        <v>221</v>
      </c>
      <c r="C33" s="61" t="s">
        <v>195</v>
      </c>
      <c r="D33" s="123">
        <f>'LCA results'!K10</f>
        <v>4.2949048378933601E-8</v>
      </c>
      <c r="E33" s="99">
        <f t="shared" si="0"/>
        <v>7.2183274586443017E-5</v>
      </c>
      <c r="F33" s="99">
        <f t="shared" si="1"/>
        <v>6.4676214029452939E-6</v>
      </c>
      <c r="G33" s="142">
        <f t="shared" si="2"/>
        <v>4.1060362061682641E-2</v>
      </c>
      <c r="H33" s="22"/>
      <c r="I33" s="126">
        <f>'LCA results'!D30*'LCA results_weighting'!$F33</f>
        <v>1.5495213936270002E-6</v>
      </c>
      <c r="J33" s="126">
        <f>'LCA results'!E30*'LCA results_weighting'!$F33</f>
        <v>2.2743377688795253E-6</v>
      </c>
      <c r="K33" s="126">
        <f>'LCA results'!F30*'LCA results_weighting'!$F33</f>
        <v>2.7988580699830189E-7</v>
      </c>
      <c r="L33" s="126">
        <f>'LCA results'!G30*'LCA results_weighting'!$F33</f>
        <v>1.2758576979176349E-6</v>
      </c>
      <c r="M33" s="126">
        <f>'LCA results'!H30*'LCA results_weighting'!$F33</f>
        <v>1.6871550426868016E-7</v>
      </c>
      <c r="N33" s="126">
        <f>'LCA results'!I30*'LCA results_weighting'!$F33</f>
        <v>1.3112287395032779E-7</v>
      </c>
      <c r="O33" s="126">
        <f>'LCA results'!J30*'LCA results_weighting'!$F33</f>
        <v>7.8818035730382344E-7</v>
      </c>
      <c r="P33" s="121">
        <f>SUM(I33:O33)</f>
        <v>6.4676214029452931E-6</v>
      </c>
    </row>
    <row r="34" spans="1:18" s="2" customFormat="1" x14ac:dyDescent="0.45">
      <c r="A34" s="61" t="s">
        <v>203</v>
      </c>
      <c r="B34" t="s">
        <v>309</v>
      </c>
      <c r="C34" s="61" t="s">
        <v>204</v>
      </c>
      <c r="D34" s="123">
        <f>'LCA results'!K11</f>
        <v>2.8208363378144901E-3</v>
      </c>
      <c r="E34" s="99">
        <f t="shared" si="0"/>
        <v>1.446582737340764E-4</v>
      </c>
      <c r="F34" s="99">
        <f t="shared" si="1"/>
        <v>4.2818849025286622E-6</v>
      </c>
      <c r="G34" s="142">
        <f t="shared" si="2"/>
        <v>2.7183988278011252E-2</v>
      </c>
      <c r="H34" s="22"/>
      <c r="I34" s="126">
        <f>'LCA results'!D31*'LCA results_weighting'!$F34</f>
        <v>9.3312291412884008E-7</v>
      </c>
      <c r="J34" s="126">
        <f>'LCA results'!E31*'LCA results_weighting'!$F34</f>
        <v>6.9959036256693114E-7</v>
      </c>
      <c r="K34" s="126">
        <f>'LCA results'!F31*'LCA results_weighting'!$F34</f>
        <v>1.4162929766466813E-7</v>
      </c>
      <c r="L34" s="126">
        <f>'LCA results'!G31*'LCA results_weighting'!$F34</f>
        <v>2.3102418729098711E-6</v>
      </c>
      <c r="M34" s="126">
        <f>'LCA results'!H31*'LCA results_weighting'!$F34</f>
        <v>2.1159488838548497E-8</v>
      </c>
      <c r="N34" s="126">
        <f>'LCA results'!I31*'LCA results_weighting'!$F34</f>
        <v>1.6409708182158511E-8</v>
      </c>
      <c r="O34" s="126">
        <f>'LCA results'!J31*'LCA results_weighting'!$F34</f>
        <v>1.5973125823764459E-7</v>
      </c>
      <c r="P34" s="121">
        <f>SUM(I34:O34)</f>
        <v>4.2818849025286622E-6</v>
      </c>
    </row>
    <row r="35" spans="1:18" s="2" customFormat="1" x14ac:dyDescent="0.45">
      <c r="A35" s="61" t="s">
        <v>201</v>
      </c>
      <c r="B35" t="s">
        <v>307</v>
      </c>
      <c r="C35" s="61" t="s">
        <v>202</v>
      </c>
      <c r="D35" s="123">
        <f>'LCA results'!K12</f>
        <v>4.6864181813598198E-5</v>
      </c>
      <c r="E35" s="99">
        <f t="shared" si="0"/>
        <v>2.9108187461862233E-5</v>
      </c>
      <c r="F35" s="99">
        <f t="shared" si="1"/>
        <v>8.1502924893214254E-7</v>
      </c>
      <c r="G35" s="142">
        <f t="shared" si="2"/>
        <v>5.174297313812342E-3</v>
      </c>
      <c r="H35" s="22"/>
      <c r="I35" s="126">
        <f>'LCA results'!D32*'LCA results_weighting'!$F35</f>
        <v>3.693327087330174E-7</v>
      </c>
      <c r="J35" s="126">
        <f>'LCA results'!E32*'LCA results_weighting'!$F35</f>
        <v>3.1068391744676689E-7</v>
      </c>
      <c r="K35" s="126">
        <f>'LCA results'!F32*'LCA results_weighting'!$F35</f>
        <v>7.7052782660099206E-8</v>
      </c>
      <c r="L35" s="126">
        <f>'LCA results'!G32*'LCA results_weighting'!$F35</f>
        <v>2.1092874230137342E-8</v>
      </c>
      <c r="M35" s="126">
        <f>'LCA results'!H32*'LCA results_weighting'!$F35</f>
        <v>8.2551523341025663E-9</v>
      </c>
      <c r="N35" s="126">
        <f>'LCA results'!I32*'LCA results_weighting'!$F35</f>
        <v>-5.7303936090084649E-10</v>
      </c>
      <c r="O35" s="126">
        <f>'LCA results'!J32*'LCA results_weighting'!$F35</f>
        <v>2.9184852888919973E-8</v>
      </c>
      <c r="P35" s="121">
        <f t="shared" si="3"/>
        <v>8.1502924893214254E-7</v>
      </c>
    </row>
    <row r="36" spans="1:18" s="2" customFormat="1" x14ac:dyDescent="0.45">
      <c r="A36" s="61" t="s">
        <v>205</v>
      </c>
      <c r="B36" t="s">
        <v>306</v>
      </c>
      <c r="C36" s="61" t="s">
        <v>206</v>
      </c>
      <c r="D36" s="123">
        <f>'LCA results'!K13</f>
        <v>2.82617250547345E-2</v>
      </c>
      <c r="E36" s="99">
        <f t="shared" si="0"/>
        <v>1.5967076302109888E-4</v>
      </c>
      <c r="F36" s="99">
        <f t="shared" si="1"/>
        <v>5.9237853080827682E-6</v>
      </c>
      <c r="G36" s="142">
        <f t="shared" si="2"/>
        <v>3.7607762478921357E-2</v>
      </c>
      <c r="H36" s="22"/>
      <c r="I36" s="126">
        <f>'LCA results'!D33*'LCA results_weighting'!$F36</f>
        <v>1.0420460165075133E-6</v>
      </c>
      <c r="J36" s="126">
        <f>'LCA results'!E33*'LCA results_weighting'!$F36</f>
        <v>7.9140001716736716E-7</v>
      </c>
      <c r="K36" s="126">
        <f>'LCA results'!F33*'LCA results_weighting'!$F36</f>
        <v>2.5243671048886833E-7</v>
      </c>
      <c r="L36" s="126">
        <f>'LCA results'!G33*'LCA results_weighting'!$F36</f>
        <v>3.5147202614509363E-6</v>
      </c>
      <c r="M36" s="126">
        <f>'LCA results'!H33*'LCA results_weighting'!$F36</f>
        <v>6.3845263167257549E-8</v>
      </c>
      <c r="N36" s="126">
        <f>'LCA results'!I33*'LCA results_weighting'!$F36</f>
        <v>1.2312313191877333E-8</v>
      </c>
      <c r="O36" s="126">
        <f>'LCA results'!J33*'LCA results_weighting'!$F36</f>
        <v>2.4702472610894817E-7</v>
      </c>
      <c r="P36" s="121">
        <f t="shared" si="3"/>
        <v>5.9237853080827682E-6</v>
      </c>
    </row>
    <row r="37" spans="1:18" s="2" customFormat="1" x14ac:dyDescent="0.45">
      <c r="A37" s="61" t="s">
        <v>198</v>
      </c>
      <c r="B37" t="s">
        <v>311</v>
      </c>
      <c r="C37" s="61" t="s">
        <v>197</v>
      </c>
      <c r="D37" s="123">
        <f>'LCA results'!K14</f>
        <v>6.4038327459433204E-10</v>
      </c>
      <c r="E37" s="99">
        <f t="shared" si="0"/>
        <v>3.7117433108441835E-5</v>
      </c>
      <c r="F37" s="99">
        <f t="shared" si="1"/>
        <v>7.9060132520981105E-7</v>
      </c>
      <c r="G37" s="142">
        <f t="shared" si="2"/>
        <v>5.0192141186213976E-3</v>
      </c>
      <c r="H37" s="22"/>
      <c r="I37" s="126">
        <f>'LCA results'!D34*'LCA results_weighting'!$F37</f>
        <v>1.6490183622587353E-7</v>
      </c>
      <c r="J37" s="126">
        <f>'LCA results'!E34*'LCA results_weighting'!$F37</f>
        <v>2.826126464011714E-7</v>
      </c>
      <c r="K37" s="126">
        <f>'LCA results'!F34*'LCA results_weighting'!$F37</f>
        <v>4.3813083900683948E-8</v>
      </c>
      <c r="L37" s="126">
        <f>'LCA results'!G34*'LCA results_weighting'!$F37</f>
        <v>1.5226056410203194E-7</v>
      </c>
      <c r="M37" s="126">
        <f>'LCA results'!H34*'LCA results_weighting'!$F37</f>
        <v>2.1783870996711411E-8</v>
      </c>
      <c r="N37" s="126">
        <f>'LCA results'!I34*'LCA results_weighting'!$F37</f>
        <v>1.3497074322589228E-8</v>
      </c>
      <c r="O37" s="126">
        <f>'LCA results'!J34*'LCA results_weighting'!$F37</f>
        <v>1.1173224926074959E-7</v>
      </c>
      <c r="P37" s="121">
        <f t="shared" si="3"/>
        <v>7.9060132520981095E-7</v>
      </c>
    </row>
    <row r="38" spans="1:18" s="2" customFormat="1" x14ac:dyDescent="0.45">
      <c r="A38" s="61" t="s">
        <v>196</v>
      </c>
      <c r="B38" t="s">
        <v>310</v>
      </c>
      <c r="C38" s="61" t="s">
        <v>197</v>
      </c>
      <c r="D38" s="123">
        <f>'LCA results'!K15</f>
        <v>1.5646017310597398E-8</v>
      </c>
      <c r="E38" s="99">
        <f t="shared" si="0"/>
        <v>1.2153593024979703E-4</v>
      </c>
      <c r="F38" s="99">
        <f t="shared" si="1"/>
        <v>2.2362611165962651E-6</v>
      </c>
      <c r="G38" s="142">
        <f t="shared" si="2"/>
        <v>1.4197134524616828E-2</v>
      </c>
      <c r="H38" s="22"/>
      <c r="I38" s="126">
        <f>'LCA results'!D35*'LCA results_weighting'!$F38</f>
        <v>9.2417662632758491E-7</v>
      </c>
      <c r="J38" s="126">
        <f>'LCA results'!E35*'LCA results_weighting'!$F38</f>
        <v>6.9443648104933518E-7</v>
      </c>
      <c r="K38" s="126">
        <f>'LCA results'!F35*'LCA results_weighting'!$F38</f>
        <v>1.814143999158507E-7</v>
      </c>
      <c r="L38" s="126">
        <f>'LCA results'!G35*'LCA results_weighting'!$F38</f>
        <v>1.6092456852291006E-7</v>
      </c>
      <c r="M38" s="126">
        <f>'LCA results'!H35*'LCA results_weighting'!$F38</f>
        <v>2.7247469488851099E-8</v>
      </c>
      <c r="N38" s="126">
        <f>'LCA results'!I35*'LCA results_weighting'!$F38</f>
        <v>4.8956309382306813E-8</v>
      </c>
      <c r="O38" s="126">
        <f>'LCA results'!J35*'LCA results_weighting'!$F38</f>
        <v>1.9910526190942635E-7</v>
      </c>
      <c r="P38" s="121">
        <f t="shared" si="3"/>
        <v>2.2362611165962655E-6</v>
      </c>
    </row>
    <row r="39" spans="1:18" s="2" customFormat="1" x14ac:dyDescent="0.45">
      <c r="A39" s="61" t="s">
        <v>190</v>
      </c>
      <c r="B39" t="s">
        <v>219</v>
      </c>
      <c r="C39" s="61" t="s">
        <v>191</v>
      </c>
      <c r="D39" s="123">
        <f>'LCA results'!K16</f>
        <v>8.1831806769810701E-3</v>
      </c>
      <c r="E39" s="99">
        <f t="shared" si="0"/>
        <v>1.9391423405168413E-6</v>
      </c>
      <c r="F39" s="99">
        <f t="shared" si="1"/>
        <v>9.7151031259893744E-8</v>
      </c>
      <c r="G39" s="142">
        <f t="shared" si="2"/>
        <v>6.1677334984087148E-4</v>
      </c>
      <c r="H39" s="22"/>
      <c r="I39" s="126">
        <f>'LCA results'!D36*'LCA results_weighting'!$F39</f>
        <v>1.7597772207488933E-8</v>
      </c>
      <c r="J39" s="126">
        <f>'LCA results'!E36*'LCA results_weighting'!$F39</f>
        <v>4.8653084799672979E-8</v>
      </c>
      <c r="K39" s="126">
        <f>'LCA results'!F36*'LCA results_weighting'!$F39</f>
        <v>8.3418583397426906E-9</v>
      </c>
      <c r="L39" s="126">
        <f>'LCA results'!G36*'LCA results_weighting'!$F39</f>
        <v>8.3971815563559283E-9</v>
      </c>
      <c r="M39" s="126">
        <f>'LCA results'!H36*'LCA results_weighting'!$F39</f>
        <v>3.6612588358733428E-9</v>
      </c>
      <c r="N39" s="126">
        <f>'LCA results'!I36*'LCA results_weighting'!$F39</f>
        <v>1.6139787334695793E-9</v>
      </c>
      <c r="O39" s="126">
        <f>'LCA results'!J36*'LCA results_weighting'!$F39</f>
        <v>8.8858967872902949E-9</v>
      </c>
      <c r="P39" s="121">
        <f t="shared" si="3"/>
        <v>9.7151031259893744E-8</v>
      </c>
    </row>
    <row r="40" spans="1:18" s="2" customFormat="1" x14ac:dyDescent="0.45">
      <c r="A40" s="61" t="s">
        <v>209</v>
      </c>
      <c r="B40" t="s">
        <v>223</v>
      </c>
      <c r="C40" s="61" t="s">
        <v>210</v>
      </c>
      <c r="D40" s="123">
        <f>'LCA results'!K17</f>
        <v>31.032650317127999</v>
      </c>
      <c r="E40" s="99">
        <f t="shared" si="0"/>
        <v>3.7890903928117217E-5</v>
      </c>
      <c r="F40" s="99">
        <f t="shared" si="1"/>
        <v>3.0085377718925072E-6</v>
      </c>
      <c r="G40" s="142">
        <f t="shared" si="2"/>
        <v>1.9100012584827426E-2</v>
      </c>
      <c r="H40" s="22"/>
      <c r="I40" s="126">
        <f>'LCA results'!D37*'LCA results_weighting'!$F40</f>
        <v>1.7007807769888409E-6</v>
      </c>
      <c r="J40" s="126">
        <f>'LCA results'!E37*'LCA results_weighting'!$F40</f>
        <v>1.1627731634137547E-6</v>
      </c>
      <c r="K40" s="126">
        <f>'LCA results'!F37*'LCA results_weighting'!$F40</f>
        <v>2.4758715054918339E-8</v>
      </c>
      <c r="L40" s="126">
        <f>'LCA results'!G37*'LCA results_weighting'!$F40</f>
        <v>4.8099343485381298E-8</v>
      </c>
      <c r="M40" s="126">
        <f>'LCA results'!H37*'LCA results_weighting'!$F40</f>
        <v>1.6259698393509737E-8</v>
      </c>
      <c r="N40" s="126">
        <f>'LCA results'!I37*'LCA results_weighting'!$F40</f>
        <v>1.2327530026796884E-8</v>
      </c>
      <c r="O40" s="126">
        <f>'LCA results'!J37*'LCA results_weighting'!$F40</f>
        <v>4.3538544529305195E-8</v>
      </c>
      <c r="P40" s="121">
        <f t="shared" si="3"/>
        <v>3.0085377718925072E-6</v>
      </c>
    </row>
    <row r="41" spans="1:18" s="2" customFormat="1" x14ac:dyDescent="0.45">
      <c r="A41" s="61" t="s">
        <v>188</v>
      </c>
      <c r="B41" t="s">
        <v>218</v>
      </c>
      <c r="C41" s="61" t="s">
        <v>189</v>
      </c>
      <c r="D41" s="123">
        <f>'LCA results'!K18</f>
        <v>1.4601414286725899E-8</v>
      </c>
      <c r="E41" s="99">
        <f t="shared" si="0"/>
        <v>2.7892770211474559E-7</v>
      </c>
      <c r="F41" s="99">
        <f t="shared" si="1"/>
        <v>1.7600338003440447E-8</v>
      </c>
      <c r="G41" s="142">
        <f t="shared" si="2"/>
        <v>1.1173756251411956E-4</v>
      </c>
      <c r="H41" s="22"/>
      <c r="I41" s="126">
        <f>'LCA results'!D38*'LCA results_weighting'!$F41</f>
        <v>5.5728876948686027E-9</v>
      </c>
      <c r="J41" s="126">
        <f>'LCA results'!E38*'LCA results_weighting'!$F41</f>
        <v>4.0981049765535904E-9</v>
      </c>
      <c r="K41" s="126">
        <f>'LCA results'!F38*'LCA results_weighting'!$F41</f>
        <v>2.2995128644701055E-10</v>
      </c>
      <c r="L41" s="126">
        <f>'LCA results'!G38*'LCA results_weighting'!$F41</f>
        <v>4.4621143616792871E-9</v>
      </c>
      <c r="M41" s="126">
        <f>'LCA results'!H38*'LCA results_weighting'!$F41</f>
        <v>3.6543839238163062E-10</v>
      </c>
      <c r="N41" s="126">
        <f>'LCA results'!I38*'LCA results_weighting'!$F41</f>
        <v>4.2296858524119402E-10</v>
      </c>
      <c r="O41" s="126">
        <f>'LCA results'!J38*'LCA results_weighting'!$F41</f>
        <v>2.4488727062691316E-9</v>
      </c>
      <c r="P41" s="121">
        <f t="shared" si="3"/>
        <v>1.7600338003440447E-8</v>
      </c>
    </row>
    <row r="42" spans="1:18" s="2" customFormat="1" x14ac:dyDescent="0.45">
      <c r="A42" s="61" t="s">
        <v>192</v>
      </c>
      <c r="B42" t="s">
        <v>220</v>
      </c>
      <c r="C42" s="61" t="s">
        <v>193</v>
      </c>
      <c r="D42" s="123">
        <f>'LCA results'!K19</f>
        <v>7.1269639204953198E-3</v>
      </c>
      <c r="E42" s="99">
        <f t="shared" si="0"/>
        <v>1.7442740718399442E-4</v>
      </c>
      <c r="F42" s="99">
        <f t="shared" si="1"/>
        <v>8.3376300633949341E-6</v>
      </c>
      <c r="G42" s="142">
        <f t="shared" si="2"/>
        <v>5.293230506403248E-2</v>
      </c>
      <c r="H42" s="22"/>
      <c r="I42" s="126">
        <f>'LCA results'!D39*'LCA results_weighting'!$F42</f>
        <v>7.2229214172874938E-7</v>
      </c>
      <c r="J42" s="126">
        <f>'LCA results'!E39*'LCA results_weighting'!$F42</f>
        <v>1.2931288567315038E-6</v>
      </c>
      <c r="K42" s="126">
        <f>'LCA results'!F39*'LCA results_weighting'!$F42</f>
        <v>3.35031122940272E-7</v>
      </c>
      <c r="L42" s="126">
        <f>'LCA results'!G39*'LCA results_weighting'!$F42</f>
        <v>5.3718468069072228E-6</v>
      </c>
      <c r="M42" s="126">
        <f>'LCA results'!H39*'LCA results_weighting'!$F42</f>
        <v>5.6511493589451886E-8</v>
      </c>
      <c r="N42" s="126">
        <f>'LCA results'!I39*'LCA results_weighting'!$F42</f>
        <v>7.7562404775806502E-8</v>
      </c>
      <c r="O42" s="126">
        <f>'LCA results'!J39*'LCA results_weighting'!$F42</f>
        <v>4.8125723672192813E-7</v>
      </c>
      <c r="P42" s="121">
        <f t="shared" si="3"/>
        <v>8.3376300633949341E-6</v>
      </c>
    </row>
    <row r="43" spans="1:18" s="2" customFormat="1" x14ac:dyDescent="0.45">
      <c r="A43" s="61" t="s">
        <v>213</v>
      </c>
      <c r="B43" t="s">
        <v>225</v>
      </c>
      <c r="C43" s="61" t="s">
        <v>157</v>
      </c>
      <c r="D43" s="123">
        <f>'LCA results'!K20</f>
        <v>9.8178747830062107</v>
      </c>
      <c r="E43" s="99">
        <f t="shared" si="0"/>
        <v>1.5104422743086478E-4</v>
      </c>
      <c r="F43" s="99">
        <f t="shared" si="1"/>
        <v>1.2566879722247949E-5</v>
      </c>
      <c r="G43" s="142">
        <f t="shared" si="2"/>
        <v>7.9782133064581789E-2</v>
      </c>
      <c r="H43" s="22"/>
      <c r="I43" s="126">
        <f>'LCA results'!D40*'LCA results_weighting'!$F43</f>
        <v>2.111309676223014E-6</v>
      </c>
      <c r="J43" s="126">
        <f>'LCA results'!E40*'LCA results_weighting'!$F43</f>
        <v>3.6969810633666178E-6</v>
      </c>
      <c r="K43" s="126">
        <f>'LCA results'!F40*'LCA results_weighting'!$F43</f>
        <v>9.2306046119137242E-7</v>
      </c>
      <c r="L43" s="126">
        <f>'LCA results'!G40*'LCA results_weighting'!$F43</f>
        <v>3.8677219049270658E-6</v>
      </c>
      <c r="M43" s="126">
        <f>'LCA results'!H40*'LCA results_weighting'!$F43</f>
        <v>2.2272917535905206E-7</v>
      </c>
      <c r="N43" s="126">
        <f>'LCA results'!I40*'LCA results_weighting'!$F43</f>
        <v>2.1399572439827122E-7</v>
      </c>
      <c r="O43" s="126">
        <f>'LCA results'!J40*'LCA results_weighting'!$F43</f>
        <v>1.5310817167825553E-6</v>
      </c>
      <c r="P43" s="121">
        <f t="shared" si="3"/>
        <v>1.2566879722247949E-5</v>
      </c>
    </row>
    <row r="44" spans="1:18" s="2" customFormat="1" x14ac:dyDescent="0.45">
      <c r="A44" s="61" t="s">
        <v>214</v>
      </c>
      <c r="B44" t="s">
        <v>226</v>
      </c>
      <c r="C44" s="61" t="s">
        <v>215</v>
      </c>
      <c r="D44" s="123">
        <f>'LCA results'!K21</f>
        <v>4.4551212522711602E-6</v>
      </c>
      <c r="E44" s="99">
        <f t="shared" si="0"/>
        <v>7.00490762935717E-5</v>
      </c>
      <c r="F44" s="99">
        <f t="shared" si="1"/>
        <v>5.2887052601646631E-6</v>
      </c>
      <c r="G44" s="142">
        <f t="shared" si="2"/>
        <v>3.3575891242025348E-2</v>
      </c>
      <c r="H44" s="22"/>
      <c r="I44" s="126">
        <f>'LCA results'!D41*'LCA results_weighting'!$F44</f>
        <v>2.1564907338949464E-6</v>
      </c>
      <c r="J44" s="126">
        <f>'LCA results'!E41*'LCA results_weighting'!$F44</f>
        <v>9.3171861276150642E-7</v>
      </c>
      <c r="K44" s="126">
        <f>'LCA results'!F41*'LCA results_weighting'!$F44</f>
        <v>3.6594994291334733E-7</v>
      </c>
      <c r="L44" s="126">
        <f>'LCA results'!G41*'LCA results_weighting'!$F44</f>
        <v>5.1107494205442358E-7</v>
      </c>
      <c r="M44" s="126">
        <f>'LCA results'!H41*'LCA results_weighting'!$F44</f>
        <v>2.3480559076925437E-7</v>
      </c>
      <c r="N44" s="126">
        <f>'LCA results'!I41*'LCA results_weighting'!$F44</f>
        <v>5.8284593004376707E-8</v>
      </c>
      <c r="O44" s="126">
        <f>'LCA results'!J41*'LCA results_weighting'!$F44</f>
        <v>1.030380844766808E-6</v>
      </c>
      <c r="P44" s="121">
        <f t="shared" si="3"/>
        <v>5.2887052601646631E-6</v>
      </c>
      <c r="R44" s="85"/>
    </row>
    <row r="45" spans="1:18" s="2" customFormat="1" x14ac:dyDescent="0.45">
      <c r="A45" s="61" t="s">
        <v>211</v>
      </c>
      <c r="B45" t="s">
        <v>224</v>
      </c>
      <c r="C45" s="61" t="s">
        <v>212</v>
      </c>
      <c r="D45" s="123">
        <f>'LCA results'!K22</f>
        <v>9.4122640319292294</v>
      </c>
      <c r="E45" s="99">
        <f t="shared" si="0"/>
        <v>8.1845774190688952E-4</v>
      </c>
      <c r="F45" s="99">
        <f t="shared" si="1"/>
        <v>6.9650753836276292E-5</v>
      </c>
      <c r="G45" s="142">
        <f t="shared" si="2"/>
        <v>0.44218500005029227</v>
      </c>
      <c r="H45" s="22"/>
      <c r="I45" s="126">
        <f>'LCA results'!D42*'LCA results_weighting'!$F45</f>
        <v>6.8816004331763301E-5</v>
      </c>
      <c r="J45" s="126">
        <f>'LCA results'!E42*'LCA results_weighting'!$F45</f>
        <v>5.34065395692232E-7</v>
      </c>
      <c r="K45" s="126">
        <f>'LCA results'!F42*'LCA results_weighting'!$F45</f>
        <v>6.34063792901923E-8</v>
      </c>
      <c r="L45" s="126">
        <f>'LCA results'!G42*'LCA results_weighting'!$F45</f>
        <v>7.7651870779330058E-8</v>
      </c>
      <c r="M45" s="126">
        <f>'LCA results'!H42*'LCA results_weighting'!$F45</f>
        <v>2.3884769410942042E-8</v>
      </c>
      <c r="N45" s="126">
        <f>'LCA results'!I42*'LCA results_weighting'!$F45</f>
        <v>2.2175724058397602E-8</v>
      </c>
      <c r="O45" s="126">
        <f>'LCA results'!J42*'LCA results_weighting'!$F45</f>
        <v>1.1356536528188918E-7</v>
      </c>
      <c r="P45" s="121">
        <f t="shared" si="3"/>
        <v>6.9650753836276278E-5</v>
      </c>
    </row>
    <row r="46" spans="1:18" s="2" customFormat="1" x14ac:dyDescent="0.45">
      <c r="A46" s="61"/>
      <c r="B46" s="61"/>
      <c r="C46" s="100"/>
      <c r="D46" s="100"/>
      <c r="E46" s="101"/>
      <c r="F46" s="32">
        <f>SUM(F30:F45)</f>
        <v>1.5751496280596246E-4</v>
      </c>
      <c r="G46" s="104"/>
      <c r="I46" s="119">
        <f>SUM(I30:I45)</f>
        <v>8.8451638942907938E-5</v>
      </c>
      <c r="J46" s="119">
        <f t="shared" ref="J46:O46" si="4">SUM(J30:J45)</f>
        <v>2.1669982690774018E-5</v>
      </c>
      <c r="K46" s="119">
        <f t="shared" si="4"/>
        <v>5.11131883856406E-6</v>
      </c>
      <c r="L46" s="119">
        <f t="shared" si="4"/>
        <v>3.0605928408820873E-5</v>
      </c>
      <c r="M46" s="119">
        <f t="shared" si="4"/>
        <v>1.3866663481269894E-6</v>
      </c>
      <c r="N46" s="119">
        <f t="shared" si="4"/>
        <v>9.7432379001532901E-7</v>
      </c>
      <c r="O46" s="119">
        <f t="shared" si="4"/>
        <v>9.3151037867532494E-6</v>
      </c>
      <c r="P46" s="122"/>
    </row>
    <row r="49" spans="10:18" x14ac:dyDescent="0.45">
      <c r="J49" s="22"/>
      <c r="K49" s="22"/>
      <c r="L49" s="22"/>
      <c r="M49" s="22"/>
      <c r="N49" s="22"/>
      <c r="O49" s="22"/>
      <c r="P49" s="22"/>
    </row>
    <row r="50" spans="10:18" x14ac:dyDescent="0.45">
      <c r="J50" s="22"/>
      <c r="K50" s="22"/>
      <c r="L50" s="22"/>
      <c r="M50" s="22"/>
      <c r="N50" s="22"/>
      <c r="O50" s="84"/>
      <c r="P50" s="22"/>
      <c r="R50" s="84"/>
    </row>
    <row r="51" spans="10:18" x14ac:dyDescent="0.45">
      <c r="J51" s="22"/>
      <c r="K51" s="22"/>
      <c r="L51" s="22"/>
      <c r="M51" s="22"/>
      <c r="N51" s="22"/>
      <c r="O51" s="84"/>
      <c r="P51" s="22"/>
      <c r="R51" s="84"/>
    </row>
    <row r="52" spans="10:18" x14ac:dyDescent="0.45">
      <c r="J52" s="22"/>
      <c r="K52" s="22"/>
      <c r="L52" s="22"/>
      <c r="M52" s="22"/>
      <c r="N52" s="22"/>
      <c r="O52" s="84"/>
      <c r="P52" s="22"/>
      <c r="R52" s="84"/>
    </row>
    <row r="53" spans="10:18" x14ac:dyDescent="0.45">
      <c r="J53" s="22"/>
      <c r="K53" s="22"/>
      <c r="L53" s="22"/>
      <c r="M53" s="22"/>
      <c r="N53" s="22"/>
      <c r="O53" s="84"/>
      <c r="P53" s="22"/>
      <c r="R53" s="84"/>
    </row>
    <row r="54" spans="10:18" x14ac:dyDescent="0.45">
      <c r="J54" s="22"/>
      <c r="K54" s="22"/>
      <c r="L54" s="22"/>
      <c r="M54" s="22"/>
      <c r="N54" s="22"/>
      <c r="O54" s="84"/>
      <c r="P54" s="22"/>
      <c r="R54" s="84"/>
    </row>
    <row r="55" spans="10:18" x14ac:dyDescent="0.45">
      <c r="J55" s="22"/>
      <c r="K55" s="22"/>
      <c r="L55" s="22"/>
      <c r="M55" s="22"/>
      <c r="N55" s="22"/>
      <c r="O55" s="84"/>
      <c r="P55" s="22"/>
      <c r="R55" s="84"/>
    </row>
    <row r="56" spans="10:18" x14ac:dyDescent="0.45">
      <c r="J56" s="22"/>
      <c r="K56" s="22"/>
      <c r="L56" s="22"/>
      <c r="M56" s="22"/>
      <c r="N56" s="22"/>
      <c r="O56" s="84"/>
      <c r="P56" s="22"/>
      <c r="R56" s="84"/>
    </row>
    <row r="57" spans="10:18" x14ac:dyDescent="0.45">
      <c r="J57" s="22"/>
      <c r="K57" s="22"/>
      <c r="L57" s="22"/>
      <c r="M57" s="22"/>
      <c r="N57" s="22"/>
      <c r="O57" s="84"/>
      <c r="P57" s="22"/>
      <c r="R57" s="84"/>
    </row>
    <row r="58" spans="10:18" x14ac:dyDescent="0.45">
      <c r="J58" s="22"/>
      <c r="K58" s="22"/>
      <c r="L58" s="22"/>
      <c r="M58" s="22"/>
      <c r="N58" s="22"/>
      <c r="O58" s="84"/>
      <c r="P58" s="22"/>
      <c r="R58" s="84"/>
    </row>
    <row r="59" spans="10:18" x14ac:dyDescent="0.45">
      <c r="J59" s="22"/>
      <c r="K59" s="22"/>
      <c r="L59" s="22"/>
      <c r="M59" s="22"/>
      <c r="N59" s="22"/>
      <c r="O59" s="84"/>
      <c r="P59" s="22"/>
      <c r="R59" s="84"/>
    </row>
    <row r="60" spans="10:18" x14ac:dyDescent="0.45">
      <c r="J60" s="22"/>
      <c r="K60" s="22"/>
      <c r="L60" s="22"/>
      <c r="M60" s="22"/>
      <c r="N60" s="22"/>
      <c r="O60" s="84"/>
      <c r="P60" s="22"/>
      <c r="R60" s="84"/>
    </row>
    <row r="61" spans="10:18" x14ac:dyDescent="0.45">
      <c r="J61" s="22"/>
      <c r="K61" s="22"/>
      <c r="L61" s="22"/>
      <c r="M61" s="22"/>
      <c r="N61" s="22"/>
      <c r="O61" s="84"/>
      <c r="P61" s="22"/>
      <c r="R61" s="84"/>
    </row>
    <row r="62" spans="10:18" x14ac:dyDescent="0.45">
      <c r="J62" s="22"/>
      <c r="K62" s="22"/>
      <c r="L62" s="22"/>
      <c r="M62" s="22"/>
      <c r="N62" s="22"/>
      <c r="O62" s="84"/>
      <c r="P62" s="22"/>
      <c r="R62" s="84"/>
    </row>
    <row r="63" spans="10:18" x14ac:dyDescent="0.45">
      <c r="J63" s="22"/>
      <c r="K63" s="22"/>
      <c r="L63" s="22"/>
      <c r="M63" s="22"/>
      <c r="N63" s="22"/>
      <c r="O63" s="84"/>
      <c r="P63" s="22"/>
      <c r="R63" s="84"/>
    </row>
    <row r="64" spans="10:18" x14ac:dyDescent="0.45">
      <c r="J64" s="22"/>
      <c r="K64" s="22"/>
      <c r="L64" s="22"/>
      <c r="M64" s="22"/>
      <c r="N64" s="22"/>
      <c r="O64" s="84"/>
      <c r="P64" s="22"/>
      <c r="R64" s="84"/>
    </row>
    <row r="65" spans="1:18" x14ac:dyDescent="0.45">
      <c r="O65" s="84"/>
      <c r="R65" s="84"/>
    </row>
    <row r="73" spans="1:18" x14ac:dyDescent="0.45">
      <c r="A73" s="22"/>
      <c r="C73" s="22"/>
      <c r="D73" s="22"/>
      <c r="E73" s="22"/>
      <c r="F73" s="22"/>
      <c r="G73" s="22"/>
      <c r="H73" s="22"/>
    </row>
    <row r="74" spans="1:18" x14ac:dyDescent="0.45">
      <c r="A74" s="22"/>
      <c r="C74" s="22"/>
      <c r="D74" s="22"/>
      <c r="E74" s="22"/>
      <c r="F74" s="22"/>
      <c r="G74" s="22"/>
      <c r="H74" s="22"/>
    </row>
    <row r="75" spans="1:18" x14ac:dyDescent="0.45">
      <c r="A75" s="22"/>
      <c r="C75" s="22"/>
      <c r="D75" s="22"/>
      <c r="E75" s="22"/>
      <c r="F75" s="22"/>
      <c r="G75" s="22"/>
      <c r="H75" s="22"/>
    </row>
    <row r="76" spans="1:18" x14ac:dyDescent="0.45">
      <c r="A76" s="22"/>
      <c r="C76" s="22"/>
      <c r="D76" s="22"/>
      <c r="E76" s="22"/>
      <c r="F76" s="22"/>
      <c r="G76" s="22"/>
      <c r="H76" s="22"/>
    </row>
    <row r="77" spans="1:18" x14ac:dyDescent="0.45">
      <c r="A77" s="22"/>
      <c r="C77" s="22"/>
      <c r="D77" s="22"/>
      <c r="E77" s="22"/>
      <c r="F77" s="22"/>
      <c r="G77" s="22"/>
      <c r="H77" s="22"/>
    </row>
    <row r="78" spans="1:18" x14ac:dyDescent="0.45">
      <c r="A78" s="22"/>
      <c r="C78" s="22"/>
      <c r="D78" s="22"/>
      <c r="E78" s="22"/>
      <c r="F78" s="22"/>
      <c r="G78" s="22"/>
      <c r="H78" s="22"/>
    </row>
    <row r="79" spans="1:18" x14ac:dyDescent="0.45">
      <c r="A79" s="22"/>
      <c r="C79" s="22"/>
      <c r="D79" s="22"/>
      <c r="E79" s="22"/>
      <c r="F79" s="22"/>
      <c r="G79" s="22"/>
      <c r="H79" s="22"/>
    </row>
    <row r="80" spans="1:18" x14ac:dyDescent="0.45">
      <c r="A80" s="22"/>
      <c r="C80" s="22"/>
      <c r="D80" s="22"/>
      <c r="E80" s="22"/>
      <c r="F80" s="22"/>
      <c r="G80" s="22"/>
      <c r="H80" s="22"/>
    </row>
    <row r="81" spans="1:8" x14ac:dyDescent="0.45">
      <c r="A81" s="22"/>
      <c r="C81" s="22"/>
      <c r="D81" s="22"/>
      <c r="E81" s="22"/>
      <c r="F81" s="22"/>
      <c r="G81" s="22"/>
      <c r="H81" s="22"/>
    </row>
    <row r="82" spans="1:8" x14ac:dyDescent="0.45">
      <c r="A82" s="22"/>
      <c r="C82" s="22"/>
      <c r="D82" s="22"/>
      <c r="E82" s="22"/>
      <c r="F82" s="22"/>
      <c r="G82" s="22"/>
      <c r="H82" s="22"/>
    </row>
    <row r="83" spans="1:8" x14ac:dyDescent="0.45">
      <c r="A83" s="22"/>
      <c r="C83" s="22"/>
      <c r="D83" s="22"/>
      <c r="E83" s="22"/>
      <c r="F83" s="22"/>
      <c r="G83" s="22"/>
      <c r="H83" s="22"/>
    </row>
    <row r="84" spans="1:8" x14ac:dyDescent="0.45">
      <c r="A84" s="22"/>
      <c r="C84" s="22"/>
      <c r="D84" s="22"/>
      <c r="E84" s="22"/>
      <c r="F84" s="22"/>
      <c r="G84" s="22"/>
      <c r="H84" s="22"/>
    </row>
    <row r="85" spans="1:8" x14ac:dyDescent="0.45">
      <c r="A85" s="22"/>
      <c r="C85" s="22"/>
      <c r="D85" s="22"/>
      <c r="E85" s="22"/>
      <c r="F85" s="22"/>
      <c r="G85" s="22"/>
      <c r="H85" s="22"/>
    </row>
    <row r="86" spans="1:8" x14ac:dyDescent="0.45">
      <c r="A86" s="22"/>
      <c r="C86" s="22"/>
      <c r="D86" s="22"/>
      <c r="E86" s="22"/>
      <c r="F86" s="22"/>
      <c r="G86" s="22"/>
      <c r="H86" s="22"/>
    </row>
    <row r="87" spans="1:8" x14ac:dyDescent="0.45">
      <c r="A87" s="22"/>
      <c r="C87" s="22"/>
      <c r="D87" s="22"/>
      <c r="E87" s="22"/>
      <c r="F87" s="22"/>
      <c r="G87" s="22"/>
      <c r="H87" s="22"/>
    </row>
    <row r="88" spans="1:8" x14ac:dyDescent="0.45">
      <c r="A88" s="22"/>
      <c r="C88" s="22"/>
      <c r="D88" s="22"/>
      <c r="E88" s="22"/>
      <c r="F88" s="22"/>
      <c r="G88" s="22"/>
      <c r="H88" s="22"/>
    </row>
  </sheetData>
  <mergeCells count="3">
    <mergeCell ref="B5:E5"/>
    <mergeCell ref="H5:J5"/>
    <mergeCell ref="J28:O28"/>
  </mergeCells>
  <conditionalFormatting sqref="F30:F45">
    <cfRule type="colorScale" priority="1">
      <colorScale>
        <cfvo type="min"/>
        <cfvo type="percentile" val="50"/>
        <cfvo type="max"/>
        <color rgb="FF63BE7B"/>
        <color rgb="FFFFEB84"/>
        <color rgb="FFF8696B"/>
      </colorScale>
    </cfRule>
  </conditionalFormatting>
  <hyperlinks>
    <hyperlink ref="B1" r:id="rId1" xr:uid="{69CF630E-4EA7-434C-B4BD-1F9262B95BA1}"/>
  </hyperlinks>
  <pageMargins left="0.7" right="0.7" top="0.75" bottom="0.75" header="0.3" footer="0.3"/>
  <pageSetup paperSize="9" orientation="portrait" r:id="rId2"/>
  <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B41316-436F-493C-ACEF-6A57A856427C}">
  <dimension ref="A1:P604"/>
  <sheetViews>
    <sheetView topLeftCell="A12" zoomScaleNormal="100" workbookViewId="0">
      <selection activeCell="H36" sqref="H36"/>
    </sheetView>
  </sheetViews>
  <sheetFormatPr defaultRowHeight="16" x14ac:dyDescent="0.45"/>
  <cols>
    <col min="1" max="1" width="29.1796875" bestFit="1" customWidth="1"/>
    <col min="3" max="3" width="14.81640625" bestFit="1" customWidth="1"/>
  </cols>
  <sheetData>
    <row r="1" spans="1:16" x14ac:dyDescent="0.45">
      <c r="P1" s="120"/>
    </row>
    <row r="12" spans="1:16" x14ac:dyDescent="0.45">
      <c r="A12" t="s">
        <v>457</v>
      </c>
    </row>
    <row r="13" spans="1:16" x14ac:dyDescent="0.45">
      <c r="A13" t="s">
        <v>461</v>
      </c>
    </row>
    <row r="14" spans="1:16" x14ac:dyDescent="0.45">
      <c r="A14" s="149" t="s">
        <v>463</v>
      </c>
    </row>
    <row r="15" spans="1:16" ht="48" x14ac:dyDescent="0.45">
      <c r="A15" s="1" t="s">
        <v>184</v>
      </c>
      <c r="B15" s="1" t="s">
        <v>452</v>
      </c>
      <c r="C15" s="20" t="s">
        <v>216</v>
      </c>
      <c r="D15" s="30" t="s">
        <v>454</v>
      </c>
      <c r="E15" s="30" t="s">
        <v>455</v>
      </c>
      <c r="F15" s="30" t="s">
        <v>456</v>
      </c>
    </row>
    <row r="16" spans="1:16" x14ac:dyDescent="0.45">
      <c r="A16" s="61" t="s">
        <v>199</v>
      </c>
      <c r="B16" t="s">
        <v>222</v>
      </c>
      <c r="C16" s="84">
        <v>0.35</v>
      </c>
      <c r="D16" s="145">
        <v>0.34399999999999997</v>
      </c>
      <c r="E16" s="145">
        <v>8.6499999999999994E-2</v>
      </c>
      <c r="F16" s="145">
        <v>8.1000000000000003E-2</v>
      </c>
      <c r="H16" s="84"/>
      <c r="K16" s="22"/>
    </row>
    <row r="17" spans="1:11" x14ac:dyDescent="0.45">
      <c r="A17" s="61" t="s">
        <v>186</v>
      </c>
      <c r="B17" t="s">
        <v>217</v>
      </c>
      <c r="C17" s="84">
        <v>0.28000000000000003</v>
      </c>
      <c r="D17" s="145">
        <v>0.46300000000000002</v>
      </c>
      <c r="E17" s="145">
        <v>0.34</v>
      </c>
      <c r="F17" s="145">
        <v>7.0999999999999994E-2</v>
      </c>
      <c r="H17" s="84"/>
      <c r="K17" s="84"/>
    </row>
    <row r="18" spans="1:11" x14ac:dyDescent="0.45">
      <c r="A18" s="61" t="s">
        <v>207</v>
      </c>
      <c r="B18" t="s">
        <v>308</v>
      </c>
      <c r="C18" s="148">
        <v>0.76</v>
      </c>
      <c r="D18" s="145">
        <v>1.77E-2</v>
      </c>
      <c r="E18" s="145">
        <v>0.1507</v>
      </c>
      <c r="F18" s="145"/>
      <c r="H18" s="84"/>
      <c r="K18" s="22"/>
    </row>
    <row r="19" spans="1:11" x14ac:dyDescent="0.45">
      <c r="A19" s="61" t="s">
        <v>194</v>
      </c>
      <c r="B19" t="s">
        <v>221</v>
      </c>
      <c r="C19" s="84">
        <v>0.41</v>
      </c>
      <c r="D19" s="145">
        <v>0.16900000000000001</v>
      </c>
      <c r="E19" s="145">
        <v>0.22270000000000001</v>
      </c>
      <c r="F19" s="145">
        <v>0.1065</v>
      </c>
      <c r="H19" s="84"/>
      <c r="K19" s="22"/>
    </row>
    <row r="20" spans="1:11" x14ac:dyDescent="0.45">
      <c r="A20" s="61" t="s">
        <v>203</v>
      </c>
      <c r="B20" t="s">
        <v>309</v>
      </c>
      <c r="C20" s="84">
        <v>0.7</v>
      </c>
      <c r="D20" s="145">
        <v>0.13400000000000001</v>
      </c>
      <c r="E20" s="145">
        <v>6.7500000000000004E-2</v>
      </c>
      <c r="F20" s="145">
        <v>4.7500000000000001E-2</v>
      </c>
      <c r="H20" s="84"/>
      <c r="K20" s="22"/>
    </row>
    <row r="21" spans="1:11" x14ac:dyDescent="0.45">
      <c r="A21" s="61" t="s">
        <v>201</v>
      </c>
      <c r="B21" t="s">
        <v>307</v>
      </c>
      <c r="C21" s="84">
        <v>0.66</v>
      </c>
      <c r="D21" s="145">
        <v>0.17100000000000001</v>
      </c>
      <c r="E21" s="145">
        <v>5.0999999999999997E-2</v>
      </c>
      <c r="F21" s="145">
        <v>1.32E-2</v>
      </c>
      <c r="H21" s="84"/>
    </row>
    <row r="22" spans="1:11" x14ac:dyDescent="0.45">
      <c r="A22" s="61" t="s">
        <v>205</v>
      </c>
      <c r="B22" t="s">
        <v>306</v>
      </c>
      <c r="C22" s="84">
        <v>0.56000000000000005</v>
      </c>
      <c r="D22" s="145">
        <v>0.188</v>
      </c>
      <c r="E22" s="145">
        <v>0.13819999999999999</v>
      </c>
      <c r="F22" s="145">
        <v>4.7500000000000001E-2</v>
      </c>
      <c r="H22" s="84"/>
    </row>
    <row r="23" spans="1:11" x14ac:dyDescent="0.45">
      <c r="A23" s="61" t="s">
        <v>198</v>
      </c>
      <c r="B23" t="s">
        <v>311</v>
      </c>
      <c r="C23" s="84"/>
      <c r="D23" s="145">
        <v>0.436</v>
      </c>
      <c r="E23" s="145">
        <v>0.1807</v>
      </c>
      <c r="F23" s="145">
        <v>0.13639999999999999</v>
      </c>
      <c r="H23" s="84"/>
      <c r="K23" s="22"/>
    </row>
    <row r="24" spans="1:11" x14ac:dyDescent="0.45">
      <c r="A24" s="61" t="s">
        <v>196</v>
      </c>
      <c r="B24" t="s">
        <v>310</v>
      </c>
      <c r="C24" s="84">
        <v>0.56000000000000005</v>
      </c>
      <c r="D24" s="145">
        <v>0.23799999999999999</v>
      </c>
      <c r="E24" s="145">
        <v>6.1100000000000002E-2</v>
      </c>
      <c r="F24" s="145">
        <v>4.7E-2</v>
      </c>
      <c r="H24" s="84"/>
    </row>
    <row r="25" spans="1:11" x14ac:dyDescent="0.45">
      <c r="A25" s="61" t="s">
        <v>190</v>
      </c>
      <c r="B25" t="s">
        <v>219</v>
      </c>
      <c r="C25" s="84"/>
      <c r="D25" s="145">
        <v>0.432</v>
      </c>
      <c r="E25" s="145">
        <v>0.3049</v>
      </c>
      <c r="F25" s="145">
        <v>0.16950000000000001</v>
      </c>
      <c r="H25" s="84"/>
    </row>
    <row r="26" spans="1:11" x14ac:dyDescent="0.45">
      <c r="A26" s="61" t="s">
        <v>209</v>
      </c>
      <c r="B26" t="s">
        <v>223</v>
      </c>
      <c r="C26" s="148">
        <v>0.96</v>
      </c>
      <c r="D26" s="145"/>
      <c r="E26" s="145"/>
      <c r="F26" s="145"/>
      <c r="H26" s="84"/>
    </row>
    <row r="27" spans="1:11" x14ac:dyDescent="0.45">
      <c r="A27" s="61" t="s">
        <v>188</v>
      </c>
      <c r="B27" t="s">
        <v>218</v>
      </c>
      <c r="C27" s="84"/>
      <c r="D27" s="145">
        <v>7.3700000000000002E-2</v>
      </c>
      <c r="E27" s="145">
        <v>0.13039999999999999</v>
      </c>
      <c r="F27" s="145">
        <v>0.70679999999999998</v>
      </c>
      <c r="H27" s="84"/>
      <c r="K27" s="22"/>
    </row>
    <row r="28" spans="1:11" x14ac:dyDescent="0.45">
      <c r="A28" s="61" t="s">
        <v>192</v>
      </c>
      <c r="B28" t="s">
        <v>220</v>
      </c>
      <c r="C28" s="84">
        <v>0.04</v>
      </c>
      <c r="D28" s="145">
        <v>0.432</v>
      </c>
      <c r="E28" s="145">
        <v>0.22650000000000001</v>
      </c>
      <c r="F28" s="145">
        <v>0.157</v>
      </c>
      <c r="H28" s="84"/>
      <c r="K28" s="22"/>
    </row>
    <row r="29" spans="1:11" x14ac:dyDescent="0.45">
      <c r="A29" s="61" t="s">
        <v>213</v>
      </c>
      <c r="B29" t="s">
        <v>225</v>
      </c>
      <c r="C29" s="84"/>
      <c r="D29" s="145">
        <v>0.436</v>
      </c>
      <c r="E29" s="145">
        <v>0.31240000000000001</v>
      </c>
      <c r="F29" s="145">
        <v>9.9400000000000002E-2</v>
      </c>
      <c r="H29" s="84"/>
      <c r="K29" s="22"/>
    </row>
    <row r="30" spans="1:11" x14ac:dyDescent="0.45">
      <c r="A30" s="61" t="s">
        <v>214</v>
      </c>
      <c r="B30" t="s">
        <v>226</v>
      </c>
      <c r="C30" s="84"/>
      <c r="D30" s="145">
        <v>0.373</v>
      </c>
      <c r="E30" s="145">
        <v>0.29296</v>
      </c>
      <c r="F30" s="145">
        <v>0.1235</v>
      </c>
      <c r="H30" s="84"/>
    </row>
    <row r="31" spans="1:11" x14ac:dyDescent="0.45">
      <c r="A31" s="61" t="s">
        <v>211</v>
      </c>
      <c r="B31" t="s">
        <v>224</v>
      </c>
      <c r="D31" s="148">
        <v>0.99</v>
      </c>
      <c r="E31" s="145"/>
      <c r="F31" s="145"/>
      <c r="H31" s="84"/>
      <c r="K31" s="22"/>
    </row>
    <row r="33" spans="11:11" x14ac:dyDescent="0.45">
      <c r="K33" s="22"/>
    </row>
    <row r="34" spans="11:11" x14ac:dyDescent="0.45">
      <c r="K34" s="22"/>
    </row>
    <row r="35" spans="11:11" x14ac:dyDescent="0.45">
      <c r="K35" s="22"/>
    </row>
    <row r="38" spans="11:11" x14ac:dyDescent="0.45">
      <c r="K38" s="22"/>
    </row>
    <row r="39" spans="11:11" x14ac:dyDescent="0.45">
      <c r="K39" s="22"/>
    </row>
    <row r="40" spans="11:11" x14ac:dyDescent="0.45">
      <c r="K40" s="22"/>
    </row>
    <row r="41" spans="11:11" x14ac:dyDescent="0.45">
      <c r="K41" s="22"/>
    </row>
    <row r="42" spans="11:11" x14ac:dyDescent="0.45">
      <c r="K42" s="22"/>
    </row>
    <row r="43" spans="11:11" x14ac:dyDescent="0.45">
      <c r="K43" s="22"/>
    </row>
    <row r="44" spans="11:11" x14ac:dyDescent="0.45">
      <c r="K44" s="22"/>
    </row>
    <row r="47" spans="11:11" x14ac:dyDescent="0.45">
      <c r="K47" s="22"/>
    </row>
    <row r="48" spans="11:11" x14ac:dyDescent="0.45">
      <c r="K48" s="22"/>
    </row>
    <row r="49" spans="11:11" x14ac:dyDescent="0.45">
      <c r="K49" s="22"/>
    </row>
    <row r="51" spans="11:11" x14ac:dyDescent="0.45">
      <c r="K51" s="22"/>
    </row>
    <row r="53" spans="11:11" x14ac:dyDescent="0.45">
      <c r="K53" s="22"/>
    </row>
    <row r="55" spans="11:11" x14ac:dyDescent="0.45">
      <c r="K55" s="22"/>
    </row>
    <row r="57" spans="11:11" x14ac:dyDescent="0.45">
      <c r="K57" s="22"/>
    </row>
    <row r="61" spans="11:11" x14ac:dyDescent="0.45">
      <c r="K61" s="22"/>
    </row>
    <row r="62" spans="11:11" x14ac:dyDescent="0.45">
      <c r="K62" s="22"/>
    </row>
    <row r="64" spans="11:11" x14ac:dyDescent="0.45">
      <c r="K64" s="22"/>
    </row>
    <row r="66" spans="11:11" x14ac:dyDescent="0.45">
      <c r="K66" s="22"/>
    </row>
    <row r="67" spans="11:11" x14ac:dyDescent="0.45">
      <c r="K67" s="22"/>
    </row>
    <row r="68" spans="11:11" x14ac:dyDescent="0.45">
      <c r="K68" s="22"/>
    </row>
    <row r="69" spans="11:11" x14ac:dyDescent="0.45">
      <c r="K69" s="22"/>
    </row>
    <row r="70" spans="11:11" x14ac:dyDescent="0.45">
      <c r="K70" s="22"/>
    </row>
    <row r="71" spans="11:11" x14ac:dyDescent="0.45">
      <c r="K71" s="22"/>
    </row>
    <row r="72" spans="11:11" x14ac:dyDescent="0.45">
      <c r="K72" s="22"/>
    </row>
    <row r="75" spans="11:11" x14ac:dyDescent="0.45">
      <c r="K75" s="22"/>
    </row>
    <row r="76" spans="11:11" x14ac:dyDescent="0.45">
      <c r="K76" s="22"/>
    </row>
    <row r="77" spans="11:11" x14ac:dyDescent="0.45">
      <c r="K77" s="22"/>
    </row>
    <row r="78" spans="11:11" x14ac:dyDescent="0.45">
      <c r="K78" s="22"/>
    </row>
    <row r="86" spans="11:11" x14ac:dyDescent="0.45">
      <c r="K86" s="22"/>
    </row>
    <row r="87" spans="11:11" x14ac:dyDescent="0.45">
      <c r="K87" s="22"/>
    </row>
    <row r="90" spans="11:11" x14ac:dyDescent="0.45">
      <c r="K90" s="22"/>
    </row>
    <row r="92" spans="11:11" x14ac:dyDescent="0.45">
      <c r="K92" s="22"/>
    </row>
    <row r="94" spans="11:11" x14ac:dyDescent="0.45">
      <c r="K94" s="22"/>
    </row>
    <row r="95" spans="11:11" x14ac:dyDescent="0.45">
      <c r="K95" s="22"/>
    </row>
    <row r="96" spans="11:11" x14ac:dyDescent="0.45">
      <c r="K96" s="22"/>
    </row>
    <row r="97" spans="11:11" x14ac:dyDescent="0.45">
      <c r="K97" s="22"/>
    </row>
    <row r="100" spans="11:11" x14ac:dyDescent="0.45">
      <c r="K100" s="22"/>
    </row>
    <row r="102" spans="11:11" x14ac:dyDescent="0.45">
      <c r="K102" s="22"/>
    </row>
    <row r="103" spans="11:11" x14ac:dyDescent="0.45">
      <c r="K103" s="22"/>
    </row>
    <row r="104" spans="11:11" x14ac:dyDescent="0.45">
      <c r="K104" s="22"/>
    </row>
    <row r="106" spans="11:11" x14ac:dyDescent="0.45">
      <c r="K106" s="22"/>
    </row>
    <row r="108" spans="11:11" x14ac:dyDescent="0.45">
      <c r="K108" s="22"/>
    </row>
    <row r="109" spans="11:11" x14ac:dyDescent="0.45">
      <c r="K109" s="22"/>
    </row>
    <row r="111" spans="11:11" x14ac:dyDescent="0.45">
      <c r="K111" s="22"/>
    </row>
    <row r="112" spans="11:11" x14ac:dyDescent="0.45">
      <c r="K112" s="22"/>
    </row>
    <row r="115" spans="11:11" x14ac:dyDescent="0.45">
      <c r="K115" s="22"/>
    </row>
    <row r="117" spans="11:11" x14ac:dyDescent="0.45">
      <c r="K117" s="22"/>
    </row>
    <row r="118" spans="11:11" x14ac:dyDescent="0.45">
      <c r="K118" s="22"/>
    </row>
    <row r="119" spans="11:11" x14ac:dyDescent="0.45">
      <c r="K119" s="22"/>
    </row>
    <row r="121" spans="11:11" x14ac:dyDescent="0.45">
      <c r="K121" s="22"/>
    </row>
    <row r="122" spans="11:11" x14ac:dyDescent="0.45">
      <c r="K122" s="22"/>
    </row>
    <row r="124" spans="11:11" x14ac:dyDescent="0.45">
      <c r="K124" s="22"/>
    </row>
    <row r="125" spans="11:11" x14ac:dyDescent="0.45">
      <c r="K125" s="22"/>
    </row>
    <row r="126" spans="11:11" x14ac:dyDescent="0.45">
      <c r="K126" s="22"/>
    </row>
    <row r="127" spans="11:11" x14ac:dyDescent="0.45">
      <c r="K127" s="22"/>
    </row>
    <row r="128" spans="11:11" x14ac:dyDescent="0.45">
      <c r="K128" s="22"/>
    </row>
    <row r="129" spans="11:11" x14ac:dyDescent="0.45">
      <c r="K129" s="22"/>
    </row>
    <row r="130" spans="11:11" x14ac:dyDescent="0.45">
      <c r="K130" s="22"/>
    </row>
    <row r="131" spans="11:11" x14ac:dyDescent="0.45">
      <c r="K131" s="22"/>
    </row>
    <row r="132" spans="11:11" x14ac:dyDescent="0.45">
      <c r="K132" s="22"/>
    </row>
    <row r="133" spans="11:11" x14ac:dyDescent="0.45">
      <c r="K133" s="22"/>
    </row>
    <row r="137" spans="11:11" x14ac:dyDescent="0.45">
      <c r="K137" s="22"/>
    </row>
    <row r="139" spans="11:11" x14ac:dyDescent="0.45">
      <c r="K139" s="22"/>
    </row>
    <row r="140" spans="11:11" x14ac:dyDescent="0.45">
      <c r="K140" s="22"/>
    </row>
    <row r="141" spans="11:11" x14ac:dyDescent="0.45">
      <c r="K141" s="22"/>
    </row>
    <row r="142" spans="11:11" x14ac:dyDescent="0.45">
      <c r="K142" s="22"/>
    </row>
    <row r="143" spans="11:11" x14ac:dyDescent="0.45">
      <c r="K143" s="22"/>
    </row>
    <row r="145" spans="11:11" x14ac:dyDescent="0.45">
      <c r="K145" s="22"/>
    </row>
    <row r="147" spans="11:11" x14ac:dyDescent="0.45">
      <c r="K147" s="22"/>
    </row>
    <row r="148" spans="11:11" x14ac:dyDescent="0.45">
      <c r="K148" s="22"/>
    </row>
    <row r="149" spans="11:11" x14ac:dyDescent="0.45">
      <c r="K149" s="22"/>
    </row>
    <row r="150" spans="11:11" x14ac:dyDescent="0.45">
      <c r="K150" s="22"/>
    </row>
    <row r="152" spans="11:11" x14ac:dyDescent="0.45">
      <c r="K152" s="22"/>
    </row>
    <row r="154" spans="11:11" x14ac:dyDescent="0.45">
      <c r="K154" s="22"/>
    </row>
    <row r="155" spans="11:11" x14ac:dyDescent="0.45">
      <c r="K155" s="22"/>
    </row>
    <row r="156" spans="11:11" x14ac:dyDescent="0.45">
      <c r="K156" s="22"/>
    </row>
    <row r="157" spans="11:11" x14ac:dyDescent="0.45">
      <c r="K157" s="22"/>
    </row>
    <row r="158" spans="11:11" x14ac:dyDescent="0.45">
      <c r="K158" s="22"/>
    </row>
    <row r="159" spans="11:11" x14ac:dyDescent="0.45">
      <c r="K159" s="22"/>
    </row>
    <row r="161" spans="11:11" x14ac:dyDescent="0.45">
      <c r="K161" s="22"/>
    </row>
    <row r="163" spans="11:11" x14ac:dyDescent="0.45">
      <c r="K163" s="22"/>
    </row>
    <row r="166" spans="11:11" x14ac:dyDescent="0.45">
      <c r="K166" s="22"/>
    </row>
    <row r="168" spans="11:11" x14ac:dyDescent="0.45">
      <c r="K168" s="22"/>
    </row>
    <row r="170" spans="11:11" x14ac:dyDescent="0.45">
      <c r="K170" s="22"/>
    </row>
    <row r="171" spans="11:11" x14ac:dyDescent="0.45">
      <c r="K171" s="22"/>
    </row>
    <row r="172" spans="11:11" x14ac:dyDescent="0.45">
      <c r="K172" s="22"/>
    </row>
    <row r="175" spans="11:11" x14ac:dyDescent="0.45">
      <c r="K175" s="22"/>
    </row>
    <row r="177" spans="11:11" x14ac:dyDescent="0.45">
      <c r="K177" s="22"/>
    </row>
    <row r="179" spans="11:11" x14ac:dyDescent="0.45">
      <c r="K179" s="22"/>
    </row>
    <row r="180" spans="11:11" x14ac:dyDescent="0.45">
      <c r="K180" s="22"/>
    </row>
    <row r="184" spans="11:11" x14ac:dyDescent="0.45">
      <c r="K184" s="22"/>
    </row>
    <row r="185" spans="11:11" x14ac:dyDescent="0.45">
      <c r="K185" s="22"/>
    </row>
    <row r="186" spans="11:11" x14ac:dyDescent="0.45">
      <c r="K186" s="22"/>
    </row>
    <row r="190" spans="11:11" x14ac:dyDescent="0.45">
      <c r="K190" s="22"/>
    </row>
    <row r="191" spans="11:11" x14ac:dyDescent="0.45">
      <c r="K191" s="22"/>
    </row>
    <row r="192" spans="11:11" x14ac:dyDescent="0.45">
      <c r="K192" s="22"/>
    </row>
    <row r="193" spans="11:11" x14ac:dyDescent="0.45">
      <c r="K193" s="22"/>
    </row>
    <row r="195" spans="11:11" x14ac:dyDescent="0.45">
      <c r="K195" s="22"/>
    </row>
    <row r="197" spans="11:11" x14ac:dyDescent="0.45">
      <c r="K197" s="22"/>
    </row>
    <row r="199" spans="11:11" x14ac:dyDescent="0.45">
      <c r="K199" s="22"/>
    </row>
    <row r="200" spans="11:11" x14ac:dyDescent="0.45">
      <c r="K200" s="22"/>
    </row>
    <row r="201" spans="11:11" x14ac:dyDescent="0.45">
      <c r="K201" s="22"/>
    </row>
    <row r="202" spans="11:11" x14ac:dyDescent="0.45">
      <c r="K202" s="22"/>
    </row>
    <row r="203" spans="11:11" x14ac:dyDescent="0.45">
      <c r="K203" s="22"/>
    </row>
    <row r="204" spans="11:11" x14ac:dyDescent="0.45">
      <c r="K204" s="22"/>
    </row>
    <row r="205" spans="11:11" x14ac:dyDescent="0.45">
      <c r="K205" s="22"/>
    </row>
    <row r="206" spans="11:11" x14ac:dyDescent="0.45">
      <c r="K206" s="22"/>
    </row>
    <row r="208" spans="11:11" x14ac:dyDescent="0.45">
      <c r="K208" s="22"/>
    </row>
    <row r="209" spans="11:11" x14ac:dyDescent="0.45">
      <c r="K209" s="22"/>
    </row>
    <row r="211" spans="11:11" x14ac:dyDescent="0.45">
      <c r="K211" s="22"/>
    </row>
    <row r="212" spans="11:11" x14ac:dyDescent="0.45">
      <c r="K212" s="22"/>
    </row>
    <row r="213" spans="11:11" x14ac:dyDescent="0.45">
      <c r="K213" s="22"/>
    </row>
    <row r="214" spans="11:11" x14ac:dyDescent="0.45">
      <c r="K214" s="22"/>
    </row>
    <row r="215" spans="11:11" x14ac:dyDescent="0.45">
      <c r="K215" s="22"/>
    </row>
    <row r="216" spans="11:11" x14ac:dyDescent="0.45">
      <c r="K216" s="22"/>
    </row>
    <row r="217" spans="11:11" x14ac:dyDescent="0.45">
      <c r="K217" s="22"/>
    </row>
    <row r="218" spans="11:11" x14ac:dyDescent="0.45">
      <c r="K218" s="22"/>
    </row>
    <row r="219" spans="11:11" x14ac:dyDescent="0.45">
      <c r="K219" s="22"/>
    </row>
    <row r="220" spans="11:11" x14ac:dyDescent="0.45">
      <c r="K220" s="22"/>
    </row>
    <row r="224" spans="11:11" x14ac:dyDescent="0.45">
      <c r="K224" s="22"/>
    </row>
    <row r="226" spans="11:11" x14ac:dyDescent="0.45">
      <c r="K226" s="22"/>
    </row>
    <row r="229" spans="11:11" x14ac:dyDescent="0.45">
      <c r="K229" s="22"/>
    </row>
    <row r="236" spans="11:11" x14ac:dyDescent="0.45">
      <c r="K236" s="22"/>
    </row>
    <row r="238" spans="11:11" x14ac:dyDescent="0.45">
      <c r="K238" s="22"/>
    </row>
    <row r="239" spans="11:11" x14ac:dyDescent="0.45">
      <c r="K239" s="22"/>
    </row>
    <row r="240" spans="11:11" x14ac:dyDescent="0.45">
      <c r="K240" s="22"/>
    </row>
    <row r="241" spans="11:11" x14ac:dyDescent="0.45">
      <c r="K241" s="22"/>
    </row>
    <row r="243" spans="11:11" x14ac:dyDescent="0.45">
      <c r="K243" s="22"/>
    </row>
    <row r="244" spans="11:11" x14ac:dyDescent="0.45">
      <c r="K244" s="22"/>
    </row>
    <row r="245" spans="11:11" x14ac:dyDescent="0.45">
      <c r="K245" s="22"/>
    </row>
    <row r="246" spans="11:11" x14ac:dyDescent="0.45">
      <c r="K246" s="22"/>
    </row>
    <row r="247" spans="11:11" x14ac:dyDescent="0.45">
      <c r="K247" s="22"/>
    </row>
    <row r="248" spans="11:11" x14ac:dyDescent="0.45">
      <c r="K248" s="22"/>
    </row>
    <row r="249" spans="11:11" x14ac:dyDescent="0.45">
      <c r="K249" s="22"/>
    </row>
    <row r="250" spans="11:11" x14ac:dyDescent="0.45">
      <c r="K250" s="22"/>
    </row>
    <row r="252" spans="11:11" x14ac:dyDescent="0.45">
      <c r="K252" s="22"/>
    </row>
    <row r="255" spans="11:11" x14ac:dyDescent="0.45">
      <c r="K255" s="22"/>
    </row>
    <row r="257" spans="11:11" x14ac:dyDescent="0.45">
      <c r="K257" s="22"/>
    </row>
    <row r="258" spans="11:11" x14ac:dyDescent="0.45">
      <c r="K258" s="22"/>
    </row>
    <row r="259" spans="11:11" x14ac:dyDescent="0.45">
      <c r="K259" s="22"/>
    </row>
    <row r="260" spans="11:11" x14ac:dyDescent="0.45">
      <c r="K260" s="22"/>
    </row>
    <row r="261" spans="11:11" x14ac:dyDescent="0.45">
      <c r="K261" s="22"/>
    </row>
    <row r="262" spans="11:11" x14ac:dyDescent="0.45">
      <c r="K262" s="22"/>
    </row>
    <row r="264" spans="11:11" x14ac:dyDescent="0.45">
      <c r="K264" s="22"/>
    </row>
    <row r="265" spans="11:11" x14ac:dyDescent="0.45">
      <c r="K265" s="22"/>
    </row>
    <row r="267" spans="11:11" x14ac:dyDescent="0.45">
      <c r="K267" s="22"/>
    </row>
    <row r="268" spans="11:11" x14ac:dyDescent="0.45">
      <c r="K268" s="22"/>
    </row>
    <row r="269" spans="11:11" x14ac:dyDescent="0.45">
      <c r="K269" s="22"/>
    </row>
    <row r="271" spans="11:11" x14ac:dyDescent="0.45">
      <c r="K271" s="22"/>
    </row>
    <row r="272" spans="11:11" x14ac:dyDescent="0.45">
      <c r="K272" s="22"/>
    </row>
    <row r="274" spans="11:11" x14ac:dyDescent="0.45">
      <c r="K274" s="22"/>
    </row>
    <row r="275" spans="11:11" x14ac:dyDescent="0.45">
      <c r="K275" s="22"/>
    </row>
    <row r="276" spans="11:11" x14ac:dyDescent="0.45">
      <c r="K276" s="22"/>
    </row>
    <row r="277" spans="11:11" x14ac:dyDescent="0.45">
      <c r="K277" s="22"/>
    </row>
    <row r="280" spans="11:11" x14ac:dyDescent="0.45">
      <c r="K280" s="22"/>
    </row>
    <row r="281" spans="11:11" x14ac:dyDescent="0.45">
      <c r="K281" s="22"/>
    </row>
    <row r="283" spans="11:11" x14ac:dyDescent="0.45">
      <c r="K283" s="22"/>
    </row>
    <row r="285" spans="11:11" x14ac:dyDescent="0.45">
      <c r="K285" s="22"/>
    </row>
    <row r="288" spans="11:11" x14ac:dyDescent="0.45">
      <c r="K288" s="22"/>
    </row>
    <row r="293" spans="11:11" x14ac:dyDescent="0.45">
      <c r="K293" s="22"/>
    </row>
    <row r="295" spans="11:11" x14ac:dyDescent="0.45">
      <c r="K295" s="22"/>
    </row>
    <row r="296" spans="11:11" x14ac:dyDescent="0.45">
      <c r="K296" s="22"/>
    </row>
    <row r="297" spans="11:11" x14ac:dyDescent="0.45">
      <c r="K297" s="22"/>
    </row>
    <row r="298" spans="11:11" x14ac:dyDescent="0.45">
      <c r="K298" s="22"/>
    </row>
    <row r="300" spans="11:11" x14ac:dyDescent="0.45">
      <c r="K300" s="22"/>
    </row>
    <row r="302" spans="11:11" x14ac:dyDescent="0.45">
      <c r="K302" s="22"/>
    </row>
    <row r="303" spans="11:11" x14ac:dyDescent="0.45">
      <c r="K303" s="22"/>
    </row>
    <row r="304" spans="11:11" x14ac:dyDescent="0.45">
      <c r="K304" s="22"/>
    </row>
    <row r="305" spans="11:11" x14ac:dyDescent="0.45">
      <c r="K305" s="22"/>
    </row>
    <row r="306" spans="11:11" x14ac:dyDescent="0.45">
      <c r="K306" s="22"/>
    </row>
    <row r="308" spans="11:11" x14ac:dyDescent="0.45">
      <c r="K308" s="22"/>
    </row>
    <row r="309" spans="11:11" x14ac:dyDescent="0.45">
      <c r="K309" s="22"/>
    </row>
    <row r="311" spans="11:11" x14ac:dyDescent="0.45">
      <c r="K311" s="22"/>
    </row>
    <row r="312" spans="11:11" x14ac:dyDescent="0.45">
      <c r="K312" s="22"/>
    </row>
    <row r="313" spans="11:11" x14ac:dyDescent="0.45">
      <c r="K313" s="22"/>
    </row>
    <row r="314" spans="11:11" x14ac:dyDescent="0.45">
      <c r="K314" s="22"/>
    </row>
    <row r="315" spans="11:11" x14ac:dyDescent="0.45">
      <c r="K315" s="22"/>
    </row>
    <row r="319" spans="11:11" x14ac:dyDescent="0.45">
      <c r="K319" s="22"/>
    </row>
    <row r="322" spans="11:11" x14ac:dyDescent="0.45">
      <c r="K322" s="22"/>
    </row>
    <row r="323" spans="11:11" x14ac:dyDescent="0.45">
      <c r="K323" s="22"/>
    </row>
    <row r="325" spans="11:11" x14ac:dyDescent="0.45">
      <c r="K325" s="22"/>
    </row>
    <row r="326" spans="11:11" x14ac:dyDescent="0.45">
      <c r="K326" s="22"/>
    </row>
    <row r="327" spans="11:11" x14ac:dyDescent="0.45">
      <c r="K327" s="22"/>
    </row>
    <row r="329" spans="11:11" x14ac:dyDescent="0.45">
      <c r="K329" s="22"/>
    </row>
    <row r="330" spans="11:11" x14ac:dyDescent="0.45">
      <c r="K330" s="22"/>
    </row>
    <row r="331" spans="11:11" x14ac:dyDescent="0.45">
      <c r="K331" s="22"/>
    </row>
    <row r="333" spans="11:11" x14ac:dyDescent="0.45">
      <c r="K333" s="22"/>
    </row>
    <row r="335" spans="11:11" x14ac:dyDescent="0.45">
      <c r="K335" s="22"/>
    </row>
    <row r="337" spans="11:11" x14ac:dyDescent="0.45">
      <c r="K337" s="22"/>
    </row>
    <row r="342" spans="11:11" x14ac:dyDescent="0.45">
      <c r="K342" s="22"/>
    </row>
    <row r="344" spans="11:11" x14ac:dyDescent="0.45">
      <c r="K344" s="22"/>
    </row>
    <row r="346" spans="11:11" x14ac:dyDescent="0.45">
      <c r="K346" s="22"/>
    </row>
    <row r="347" spans="11:11" x14ac:dyDescent="0.45">
      <c r="K347" s="22"/>
    </row>
    <row r="354" spans="11:11" x14ac:dyDescent="0.45">
      <c r="K354" s="22"/>
    </row>
    <row r="356" spans="11:11" x14ac:dyDescent="0.45">
      <c r="K356" s="22"/>
    </row>
    <row r="358" spans="11:11" x14ac:dyDescent="0.45">
      <c r="K358" s="22"/>
    </row>
    <row r="362" spans="11:11" x14ac:dyDescent="0.45">
      <c r="K362" s="22"/>
    </row>
    <row r="363" spans="11:11" x14ac:dyDescent="0.45">
      <c r="K363" s="22"/>
    </row>
    <row r="364" spans="11:11" x14ac:dyDescent="0.45">
      <c r="K364" s="22"/>
    </row>
    <row r="365" spans="11:11" x14ac:dyDescent="0.45">
      <c r="K365" s="22"/>
    </row>
    <row r="367" spans="11:11" x14ac:dyDescent="0.45">
      <c r="K367" s="22"/>
    </row>
    <row r="368" spans="11:11" x14ac:dyDescent="0.45">
      <c r="K368" s="22"/>
    </row>
    <row r="371" spans="11:11" x14ac:dyDescent="0.45">
      <c r="K371" s="22"/>
    </row>
    <row r="374" spans="11:11" x14ac:dyDescent="0.45">
      <c r="K374" s="22"/>
    </row>
    <row r="376" spans="11:11" x14ac:dyDescent="0.45">
      <c r="K376" s="22"/>
    </row>
    <row r="378" spans="11:11" x14ac:dyDescent="0.45">
      <c r="K378" s="22"/>
    </row>
    <row r="379" spans="11:11" x14ac:dyDescent="0.45">
      <c r="K379" s="22"/>
    </row>
    <row r="380" spans="11:11" x14ac:dyDescent="0.45">
      <c r="K380" s="22"/>
    </row>
    <row r="381" spans="11:11" x14ac:dyDescent="0.45">
      <c r="K381" s="22"/>
    </row>
    <row r="382" spans="11:11" x14ac:dyDescent="0.45">
      <c r="K382" s="22"/>
    </row>
    <row r="383" spans="11:11" x14ac:dyDescent="0.45">
      <c r="K383" s="22"/>
    </row>
    <row r="384" spans="11:11" x14ac:dyDescent="0.45">
      <c r="K384" s="22"/>
    </row>
    <row r="385" spans="11:11" x14ac:dyDescent="0.45">
      <c r="K385" s="22"/>
    </row>
    <row r="388" spans="11:11" x14ac:dyDescent="0.45">
      <c r="K388" s="22"/>
    </row>
    <row r="389" spans="11:11" x14ac:dyDescent="0.45">
      <c r="K389" s="22"/>
    </row>
    <row r="390" spans="11:11" x14ac:dyDescent="0.45">
      <c r="K390" s="22"/>
    </row>
    <row r="392" spans="11:11" x14ac:dyDescent="0.45">
      <c r="K392" s="22"/>
    </row>
    <row r="393" spans="11:11" x14ac:dyDescent="0.45">
      <c r="K393" s="22"/>
    </row>
    <row r="394" spans="11:11" x14ac:dyDescent="0.45">
      <c r="K394" s="22"/>
    </row>
    <row r="401" spans="11:11" x14ac:dyDescent="0.45">
      <c r="K401" s="22"/>
    </row>
    <row r="402" spans="11:11" x14ac:dyDescent="0.45">
      <c r="K402" s="22"/>
    </row>
    <row r="404" spans="11:11" x14ac:dyDescent="0.45">
      <c r="K404" s="22"/>
    </row>
    <row r="406" spans="11:11" x14ac:dyDescent="0.45">
      <c r="K406" s="22"/>
    </row>
    <row r="408" spans="11:11" x14ac:dyDescent="0.45">
      <c r="K408" s="22"/>
    </row>
    <row r="411" spans="11:11" x14ac:dyDescent="0.45">
      <c r="K411" s="22"/>
    </row>
    <row r="414" spans="11:11" x14ac:dyDescent="0.45">
      <c r="K414" s="22"/>
    </row>
    <row r="417" spans="11:11" x14ac:dyDescent="0.45">
      <c r="K417" s="22"/>
    </row>
    <row r="418" spans="11:11" x14ac:dyDescent="0.45">
      <c r="K418" s="22"/>
    </row>
    <row r="420" spans="11:11" x14ac:dyDescent="0.45">
      <c r="K420" s="22"/>
    </row>
    <row r="421" spans="11:11" x14ac:dyDescent="0.45">
      <c r="K421" s="22"/>
    </row>
    <row r="422" spans="11:11" x14ac:dyDescent="0.45">
      <c r="K422" s="22"/>
    </row>
    <row r="423" spans="11:11" x14ac:dyDescent="0.45">
      <c r="K423" s="22"/>
    </row>
    <row r="424" spans="11:11" x14ac:dyDescent="0.45">
      <c r="K424" s="22"/>
    </row>
    <row r="425" spans="11:11" x14ac:dyDescent="0.45">
      <c r="K425" s="22"/>
    </row>
    <row r="428" spans="11:11" x14ac:dyDescent="0.45">
      <c r="K428" s="22"/>
    </row>
    <row r="430" spans="11:11" x14ac:dyDescent="0.45">
      <c r="K430" s="22"/>
    </row>
    <row r="433" spans="11:11" x14ac:dyDescent="0.45">
      <c r="K433" s="22"/>
    </row>
    <row r="435" spans="11:11" x14ac:dyDescent="0.45">
      <c r="K435" s="22"/>
    </row>
    <row r="438" spans="11:11" x14ac:dyDescent="0.45">
      <c r="K438" s="22"/>
    </row>
    <row r="441" spans="11:11" x14ac:dyDescent="0.45">
      <c r="K441" s="22"/>
    </row>
    <row r="443" spans="11:11" x14ac:dyDescent="0.45">
      <c r="K443" s="22"/>
    </row>
    <row r="445" spans="11:11" x14ac:dyDescent="0.45">
      <c r="K445" s="22"/>
    </row>
    <row r="448" spans="11:11" x14ac:dyDescent="0.45">
      <c r="K448" s="22"/>
    </row>
    <row r="449" spans="11:11" x14ac:dyDescent="0.45">
      <c r="K449" s="22"/>
    </row>
    <row r="451" spans="11:11" x14ac:dyDescent="0.45">
      <c r="K451" s="22"/>
    </row>
    <row r="457" spans="11:11" x14ac:dyDescent="0.45">
      <c r="K457" s="22"/>
    </row>
    <row r="460" spans="11:11" x14ac:dyDescent="0.45">
      <c r="K460" s="22"/>
    </row>
    <row r="461" spans="11:11" x14ac:dyDescent="0.45">
      <c r="K461" s="22"/>
    </row>
    <row r="463" spans="11:11" x14ac:dyDescent="0.45">
      <c r="K463" s="22"/>
    </row>
    <row r="464" spans="11:11" x14ac:dyDescent="0.45">
      <c r="K464" s="22"/>
    </row>
    <row r="466" spans="11:11" x14ac:dyDescent="0.45">
      <c r="K466" s="22"/>
    </row>
    <row r="467" spans="11:11" x14ac:dyDescent="0.45">
      <c r="K467" s="22"/>
    </row>
    <row r="468" spans="11:11" x14ac:dyDescent="0.45">
      <c r="K468" s="22"/>
    </row>
    <row r="469" spans="11:11" x14ac:dyDescent="0.45">
      <c r="K469" s="22"/>
    </row>
    <row r="471" spans="11:11" x14ac:dyDescent="0.45">
      <c r="K471" s="22"/>
    </row>
    <row r="472" spans="11:11" x14ac:dyDescent="0.45">
      <c r="K472" s="22"/>
    </row>
    <row r="473" spans="11:11" x14ac:dyDescent="0.45">
      <c r="K473" s="22"/>
    </row>
    <row r="475" spans="11:11" x14ac:dyDescent="0.45">
      <c r="K475" s="22"/>
    </row>
    <row r="480" spans="11:11" x14ac:dyDescent="0.45">
      <c r="K480" s="22"/>
    </row>
    <row r="481" spans="11:11" x14ac:dyDescent="0.45">
      <c r="K481" s="22"/>
    </row>
    <row r="485" spans="11:11" x14ac:dyDescent="0.45">
      <c r="K485" s="22"/>
    </row>
    <row r="486" spans="11:11" x14ac:dyDescent="0.45">
      <c r="K486" s="22"/>
    </row>
    <row r="487" spans="11:11" x14ac:dyDescent="0.45">
      <c r="K487" s="22"/>
    </row>
    <row r="491" spans="11:11" x14ac:dyDescent="0.45">
      <c r="K491" s="22"/>
    </row>
    <row r="495" spans="11:11" x14ac:dyDescent="0.45">
      <c r="K495" s="22"/>
    </row>
    <row r="496" spans="11:11" x14ac:dyDescent="0.45">
      <c r="K496" s="22"/>
    </row>
    <row r="497" spans="11:11" x14ac:dyDescent="0.45">
      <c r="K497" s="22"/>
    </row>
    <row r="498" spans="11:11" x14ac:dyDescent="0.45">
      <c r="K498" s="22"/>
    </row>
    <row r="499" spans="11:11" x14ac:dyDescent="0.45">
      <c r="K499" s="22"/>
    </row>
    <row r="500" spans="11:11" x14ac:dyDescent="0.45">
      <c r="K500" s="22"/>
    </row>
    <row r="501" spans="11:11" x14ac:dyDescent="0.45">
      <c r="K501" s="22"/>
    </row>
    <row r="502" spans="11:11" x14ac:dyDescent="0.45">
      <c r="K502" s="22"/>
    </row>
    <row r="505" spans="11:11" x14ac:dyDescent="0.45">
      <c r="K505" s="22"/>
    </row>
    <row r="507" spans="11:11" x14ac:dyDescent="0.45">
      <c r="K507" s="22"/>
    </row>
    <row r="508" spans="11:11" x14ac:dyDescent="0.45">
      <c r="K508" s="22"/>
    </row>
    <row r="509" spans="11:11" x14ac:dyDescent="0.45">
      <c r="K509" s="22"/>
    </row>
    <row r="510" spans="11:11" x14ac:dyDescent="0.45">
      <c r="K510" s="22"/>
    </row>
    <row r="511" spans="11:11" x14ac:dyDescent="0.45">
      <c r="K511" s="22"/>
    </row>
    <row r="512" spans="11:11" x14ac:dyDescent="0.45">
      <c r="K512" s="22"/>
    </row>
    <row r="513" spans="11:11" x14ac:dyDescent="0.45">
      <c r="K513" s="22"/>
    </row>
    <row r="515" spans="11:11" x14ac:dyDescent="0.45">
      <c r="K515" s="22"/>
    </row>
    <row r="516" spans="11:11" x14ac:dyDescent="0.45">
      <c r="K516" s="22"/>
    </row>
    <row r="518" spans="11:11" x14ac:dyDescent="0.45">
      <c r="K518" s="22"/>
    </row>
    <row r="519" spans="11:11" x14ac:dyDescent="0.45">
      <c r="K519" s="22"/>
    </row>
    <row r="520" spans="11:11" x14ac:dyDescent="0.45">
      <c r="K520" s="22"/>
    </row>
    <row r="521" spans="11:11" x14ac:dyDescent="0.45">
      <c r="K521" s="22"/>
    </row>
    <row r="523" spans="11:11" x14ac:dyDescent="0.45">
      <c r="K523" s="22"/>
    </row>
    <row r="524" spans="11:11" x14ac:dyDescent="0.45">
      <c r="K524" s="22"/>
    </row>
    <row r="525" spans="11:11" x14ac:dyDescent="0.45">
      <c r="K525" s="22"/>
    </row>
    <row r="526" spans="11:11" x14ac:dyDescent="0.45">
      <c r="K526" s="22"/>
    </row>
    <row r="527" spans="11:11" x14ac:dyDescent="0.45">
      <c r="K527" s="22"/>
    </row>
    <row r="529" spans="11:11" x14ac:dyDescent="0.45">
      <c r="K529" s="22"/>
    </row>
    <row r="534" spans="11:11" x14ac:dyDescent="0.45">
      <c r="K534" s="22"/>
    </row>
    <row r="537" spans="11:11" x14ac:dyDescent="0.45">
      <c r="K537" s="22"/>
    </row>
    <row r="538" spans="11:11" x14ac:dyDescent="0.45">
      <c r="K538" s="22"/>
    </row>
    <row r="540" spans="11:11" x14ac:dyDescent="0.45">
      <c r="K540" s="22"/>
    </row>
    <row r="542" spans="11:11" x14ac:dyDescent="0.45">
      <c r="K542" s="22"/>
    </row>
    <row r="545" spans="11:11" x14ac:dyDescent="0.45">
      <c r="K545" s="22"/>
    </row>
    <row r="546" spans="11:11" x14ac:dyDescent="0.45">
      <c r="K546" s="22"/>
    </row>
    <row r="548" spans="11:11" x14ac:dyDescent="0.45">
      <c r="K548" s="22"/>
    </row>
    <row r="549" spans="11:11" x14ac:dyDescent="0.45">
      <c r="K549" s="22"/>
    </row>
    <row r="551" spans="11:11" x14ac:dyDescent="0.45">
      <c r="K551" s="22"/>
    </row>
    <row r="556" spans="11:11" x14ac:dyDescent="0.45">
      <c r="K556" s="22"/>
    </row>
    <row r="557" spans="11:11" x14ac:dyDescent="0.45">
      <c r="K557" s="22"/>
    </row>
    <row r="558" spans="11:11" x14ac:dyDescent="0.45">
      <c r="K558" s="22"/>
    </row>
    <row r="559" spans="11:11" x14ac:dyDescent="0.45">
      <c r="K559" s="22"/>
    </row>
    <row r="561" spans="11:11" x14ac:dyDescent="0.45">
      <c r="K561" s="22"/>
    </row>
    <row r="562" spans="11:11" x14ac:dyDescent="0.45">
      <c r="K562" s="22"/>
    </row>
    <row r="563" spans="11:11" x14ac:dyDescent="0.45">
      <c r="K563" s="22"/>
    </row>
    <row r="564" spans="11:11" x14ac:dyDescent="0.45">
      <c r="K564" s="22"/>
    </row>
    <row r="565" spans="11:11" x14ac:dyDescent="0.45">
      <c r="K565" s="22"/>
    </row>
    <row r="566" spans="11:11" x14ac:dyDescent="0.45">
      <c r="K566" s="22"/>
    </row>
    <row r="567" spans="11:11" x14ac:dyDescent="0.45">
      <c r="K567" s="22"/>
    </row>
    <row r="568" spans="11:11" x14ac:dyDescent="0.45">
      <c r="K568" s="22"/>
    </row>
    <row r="569" spans="11:11" x14ac:dyDescent="0.45">
      <c r="K569" s="22"/>
    </row>
    <row r="570" spans="11:11" x14ac:dyDescent="0.45">
      <c r="K570" s="22"/>
    </row>
    <row r="571" spans="11:11" x14ac:dyDescent="0.45">
      <c r="K571" s="22"/>
    </row>
    <row r="572" spans="11:11" x14ac:dyDescent="0.45">
      <c r="K572" s="22"/>
    </row>
    <row r="574" spans="11:11" x14ac:dyDescent="0.45">
      <c r="K574" s="22"/>
    </row>
    <row r="576" spans="11:11" x14ac:dyDescent="0.45">
      <c r="K576" s="22"/>
    </row>
    <row r="577" spans="11:11" x14ac:dyDescent="0.45">
      <c r="K577" s="22"/>
    </row>
    <row r="580" spans="11:11" x14ac:dyDescent="0.45">
      <c r="K580" s="22"/>
    </row>
    <row r="581" spans="11:11" x14ac:dyDescent="0.45">
      <c r="K581" s="22"/>
    </row>
    <row r="582" spans="11:11" x14ac:dyDescent="0.45">
      <c r="K582" s="22"/>
    </row>
    <row r="583" spans="11:11" x14ac:dyDescent="0.45">
      <c r="K583" s="22"/>
    </row>
    <row r="584" spans="11:11" x14ac:dyDescent="0.45">
      <c r="K584" s="22"/>
    </row>
    <row r="586" spans="11:11" x14ac:dyDescent="0.45">
      <c r="K586" s="22"/>
    </row>
    <row r="590" spans="11:11" x14ac:dyDescent="0.45">
      <c r="K590" s="22"/>
    </row>
    <row r="591" spans="11:11" x14ac:dyDescent="0.45">
      <c r="K591" s="22"/>
    </row>
    <row r="592" spans="11:11" x14ac:dyDescent="0.45">
      <c r="K592" s="22"/>
    </row>
    <row r="593" spans="11:11" x14ac:dyDescent="0.45">
      <c r="K593" s="22"/>
    </row>
    <row r="596" spans="11:11" x14ac:dyDescent="0.45">
      <c r="K596" s="22"/>
    </row>
    <row r="597" spans="11:11" x14ac:dyDescent="0.45">
      <c r="K597" s="22"/>
    </row>
    <row r="598" spans="11:11" x14ac:dyDescent="0.45">
      <c r="K598" s="22"/>
    </row>
    <row r="601" spans="11:11" x14ac:dyDescent="0.45">
      <c r="K601" s="22"/>
    </row>
    <row r="602" spans="11:11" x14ac:dyDescent="0.45">
      <c r="K602" s="22"/>
    </row>
    <row r="603" spans="11:11" x14ac:dyDescent="0.45">
      <c r="K603" s="22"/>
    </row>
    <row r="604" spans="11:11" x14ac:dyDescent="0.45">
      <c r="K604" s="22"/>
    </row>
  </sheetData>
  <pageMargins left="0.7" right="0.7" top="0.75" bottom="0.75" header="0.3" footer="0.3"/>
  <legacy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2D1935-7F4A-4E76-AD8C-8575F74688BB}">
  <dimension ref="A1:O22"/>
  <sheetViews>
    <sheetView workbookViewId="0">
      <selection activeCell="F21" sqref="F21:F22"/>
    </sheetView>
  </sheetViews>
  <sheetFormatPr defaultRowHeight="16" x14ac:dyDescent="0.45"/>
  <cols>
    <col min="1" max="1" width="29.7265625" bestFit="1" customWidth="1"/>
    <col min="3" max="12" width="16" style="102" customWidth="1"/>
    <col min="13" max="13" width="16" style="27" customWidth="1"/>
    <col min="14" max="15" width="8.7265625" style="27"/>
  </cols>
  <sheetData>
    <row r="1" spans="1:14" x14ac:dyDescent="0.45">
      <c r="A1" t="s">
        <v>457</v>
      </c>
    </row>
    <row r="2" spans="1:14" x14ac:dyDescent="0.45">
      <c r="A2" t="s">
        <v>460</v>
      </c>
    </row>
    <row r="4" spans="1:14" ht="64" x14ac:dyDescent="0.45">
      <c r="A4" s="1" t="s">
        <v>184</v>
      </c>
      <c r="B4" s="1" t="s">
        <v>452</v>
      </c>
      <c r="C4" s="20" t="s">
        <v>473</v>
      </c>
      <c r="D4" s="20" t="s">
        <v>472</v>
      </c>
      <c r="E4" s="20" t="s">
        <v>470</v>
      </c>
      <c r="F4" s="20" t="s">
        <v>475</v>
      </c>
      <c r="G4" s="20" t="s">
        <v>469</v>
      </c>
      <c r="H4" s="20" t="s">
        <v>468</v>
      </c>
      <c r="I4" s="20" t="s">
        <v>471</v>
      </c>
      <c r="J4" s="20" t="s">
        <v>474</v>
      </c>
      <c r="K4" s="20" t="s">
        <v>458</v>
      </c>
      <c r="L4" s="147" t="s">
        <v>459</v>
      </c>
      <c r="M4" s="147" t="s">
        <v>462</v>
      </c>
    </row>
    <row r="5" spans="1:14" x14ac:dyDescent="0.45">
      <c r="A5" s="61" t="s">
        <v>199</v>
      </c>
      <c r="B5" t="s">
        <v>222</v>
      </c>
      <c r="C5" s="150">
        <v>5.8599999999999999E-2</v>
      </c>
      <c r="D5" s="150"/>
      <c r="E5" s="150">
        <v>0.124</v>
      </c>
      <c r="F5" s="150"/>
      <c r="G5" s="150">
        <v>6.3600000000000004E-2</v>
      </c>
      <c r="H5" s="150"/>
      <c r="I5" s="150">
        <v>0.51080000000000003</v>
      </c>
      <c r="J5" s="150"/>
      <c r="K5" s="150"/>
      <c r="L5" s="151"/>
      <c r="M5" s="152">
        <f>SUM(C5:L5)</f>
        <v>0.75700000000000001</v>
      </c>
      <c r="N5" s="146"/>
    </row>
    <row r="6" spans="1:14" x14ac:dyDescent="0.45">
      <c r="A6" s="61" t="s">
        <v>186</v>
      </c>
      <c r="B6" t="s">
        <v>217</v>
      </c>
      <c r="C6" s="150">
        <v>0.155</v>
      </c>
      <c r="D6" s="150"/>
      <c r="E6" s="150">
        <v>0.11899999999999999</v>
      </c>
      <c r="F6" s="150"/>
      <c r="G6" s="150">
        <v>6.0900000000000003E-2</v>
      </c>
      <c r="H6" s="150"/>
      <c r="I6" s="150">
        <v>0.2681</v>
      </c>
      <c r="J6" s="150"/>
      <c r="K6" s="150">
        <v>0.109</v>
      </c>
      <c r="L6" s="151"/>
      <c r="M6" s="152">
        <f t="shared" ref="M6:M20" si="0">SUM(C6:L6)</f>
        <v>0.71199999999999997</v>
      </c>
      <c r="N6" s="146"/>
    </row>
    <row r="7" spans="1:14" x14ac:dyDescent="0.45">
      <c r="A7" s="61" t="s">
        <v>207</v>
      </c>
      <c r="B7" t="s">
        <v>308</v>
      </c>
      <c r="C7" s="150">
        <v>6.9599999999999995E-2</v>
      </c>
      <c r="D7" s="150"/>
      <c r="E7" s="150"/>
      <c r="F7" s="150"/>
      <c r="G7" s="150"/>
      <c r="H7" s="150"/>
      <c r="I7" s="150">
        <v>7.3700000000000002E-2</v>
      </c>
      <c r="J7" s="150"/>
      <c r="K7" s="150">
        <v>5.45E-2</v>
      </c>
      <c r="L7" s="151">
        <v>0.68100000000000005</v>
      </c>
      <c r="M7" s="152">
        <f t="shared" si="0"/>
        <v>0.87880000000000003</v>
      </c>
      <c r="N7" s="146"/>
    </row>
    <row r="8" spans="1:14" x14ac:dyDescent="0.45">
      <c r="A8" s="61" t="s">
        <v>194</v>
      </c>
      <c r="B8" t="s">
        <v>221</v>
      </c>
      <c r="C8" s="150">
        <v>0.28100000000000003</v>
      </c>
      <c r="D8" s="150"/>
      <c r="E8" s="150">
        <v>3.6600000000000001E-2</v>
      </c>
      <c r="F8" s="150"/>
      <c r="G8" s="150">
        <v>1.8800000000000001E-2</v>
      </c>
      <c r="H8" s="150">
        <v>6.1100000000000002E-2</v>
      </c>
      <c r="I8" s="150">
        <v>0.107</v>
      </c>
      <c r="J8" s="150"/>
      <c r="K8" s="150">
        <v>0.105</v>
      </c>
      <c r="L8" s="151">
        <v>0.24</v>
      </c>
      <c r="M8" s="152">
        <f t="shared" si="0"/>
        <v>0.84950000000000003</v>
      </c>
      <c r="N8" s="146"/>
    </row>
    <row r="9" spans="1:14" x14ac:dyDescent="0.45">
      <c r="A9" s="61" t="s">
        <v>203</v>
      </c>
      <c r="B9" t="s">
        <v>309</v>
      </c>
      <c r="C9" s="150">
        <v>9.4899999999999998E-2</v>
      </c>
      <c r="D9" s="150"/>
      <c r="E9" s="150">
        <v>5.7000000000000002E-2</v>
      </c>
      <c r="F9" s="150"/>
      <c r="G9" s="150">
        <v>2.93E-2</v>
      </c>
      <c r="H9" s="150"/>
      <c r="I9" s="150">
        <v>0.52</v>
      </c>
      <c r="J9" s="150"/>
      <c r="K9" s="150"/>
      <c r="L9" s="151"/>
      <c r="M9" s="152">
        <f t="shared" si="0"/>
        <v>0.70120000000000005</v>
      </c>
      <c r="N9" s="146"/>
    </row>
    <row r="10" spans="1:14" x14ac:dyDescent="0.45">
      <c r="A10" s="61" t="s">
        <v>201</v>
      </c>
      <c r="B10" t="s">
        <v>307</v>
      </c>
      <c r="C10" s="150"/>
      <c r="D10" s="150"/>
      <c r="E10" s="150">
        <v>0.17599999999999999</v>
      </c>
      <c r="F10" s="150"/>
      <c r="G10" s="150">
        <v>9.1999999999999998E-2</v>
      </c>
      <c r="H10" s="150"/>
      <c r="I10" s="150"/>
      <c r="J10" s="150"/>
      <c r="K10" s="150"/>
      <c r="L10" s="151">
        <v>0.45300000000000001</v>
      </c>
      <c r="M10" s="152">
        <f t="shared" si="0"/>
        <v>0.72100000000000009</v>
      </c>
      <c r="N10" s="146"/>
    </row>
    <row r="11" spans="1:14" x14ac:dyDescent="0.45">
      <c r="A11" s="61" t="s">
        <v>205</v>
      </c>
      <c r="B11" t="s">
        <v>306</v>
      </c>
      <c r="C11" s="150">
        <v>6.0499999999999998E-2</v>
      </c>
      <c r="D11" s="150"/>
      <c r="E11" s="150">
        <v>6.4600000000000005E-2</v>
      </c>
      <c r="F11" s="150"/>
      <c r="G11" s="150">
        <v>3.32E-2</v>
      </c>
      <c r="H11" s="150"/>
      <c r="I11" s="150">
        <v>0.57299999999999995</v>
      </c>
      <c r="J11" s="150"/>
      <c r="K11" s="150"/>
      <c r="L11" s="151"/>
      <c r="M11" s="152">
        <f t="shared" si="0"/>
        <v>0.73129999999999995</v>
      </c>
      <c r="N11" s="146"/>
    </row>
    <row r="12" spans="1:14" x14ac:dyDescent="0.45">
      <c r="A12" s="61" t="s">
        <v>198</v>
      </c>
      <c r="B12" t="s">
        <v>311</v>
      </c>
      <c r="C12" s="150">
        <v>0.19400000000000001</v>
      </c>
      <c r="D12" s="150">
        <v>9.3700000000000006E-2</v>
      </c>
      <c r="E12" s="150">
        <v>6.1899999999999997E-2</v>
      </c>
      <c r="F12" s="150"/>
      <c r="G12" s="150">
        <v>3.1800000000000002E-2</v>
      </c>
      <c r="H12" s="150"/>
      <c r="I12" s="150">
        <v>0.14299999999999999</v>
      </c>
      <c r="J12" s="150">
        <v>2.3599999999999999E-2</v>
      </c>
      <c r="K12" s="150">
        <v>0.12</v>
      </c>
      <c r="L12" s="151">
        <v>0.20899999999999999</v>
      </c>
      <c r="M12" s="152">
        <f t="shared" si="0"/>
        <v>0.87699999999999989</v>
      </c>
      <c r="N12" s="146"/>
    </row>
    <row r="13" spans="1:14" x14ac:dyDescent="0.45">
      <c r="A13" s="61" t="s">
        <v>196</v>
      </c>
      <c r="B13" t="s">
        <v>310</v>
      </c>
      <c r="C13" s="150">
        <v>0.155</v>
      </c>
      <c r="D13" s="150"/>
      <c r="E13" s="150">
        <v>0.14499999999999999</v>
      </c>
      <c r="F13" s="150"/>
      <c r="G13" s="150">
        <v>7.4399999999999994E-2</v>
      </c>
      <c r="H13" s="150"/>
      <c r="I13" s="150"/>
      <c r="J13" s="150"/>
      <c r="K13" s="150">
        <v>6.1400000000000003E-2</v>
      </c>
      <c r="L13" s="151">
        <v>0.41299999999999998</v>
      </c>
      <c r="M13" s="152">
        <f t="shared" si="0"/>
        <v>0.8488</v>
      </c>
      <c r="N13" s="146"/>
    </row>
    <row r="14" spans="1:14" x14ac:dyDescent="0.45">
      <c r="A14" s="61" t="s">
        <v>190</v>
      </c>
      <c r="B14" t="s">
        <v>219</v>
      </c>
      <c r="C14" s="150">
        <v>0.33600000000000002</v>
      </c>
      <c r="D14" s="150"/>
      <c r="E14" s="150">
        <v>0.14599999999999999</v>
      </c>
      <c r="F14" s="150"/>
      <c r="G14" s="150">
        <v>7.4700000000000003E-2</v>
      </c>
      <c r="H14" s="150"/>
      <c r="I14" s="150"/>
      <c r="J14" s="150"/>
      <c r="K14" s="150">
        <v>8.6099999999999996E-2</v>
      </c>
      <c r="L14" s="151">
        <v>0.18099999999999999</v>
      </c>
      <c r="M14" s="152">
        <f t="shared" si="0"/>
        <v>0.82379999999999987</v>
      </c>
      <c r="N14" s="146"/>
    </row>
    <row r="15" spans="1:14" x14ac:dyDescent="0.45">
      <c r="A15" s="61" t="s">
        <v>209</v>
      </c>
      <c r="B15" t="s">
        <v>223</v>
      </c>
      <c r="C15" s="150">
        <v>0.22600000000000001</v>
      </c>
      <c r="D15" s="150">
        <v>0.152</v>
      </c>
      <c r="E15" s="150"/>
      <c r="F15" s="150"/>
      <c r="G15" s="150"/>
      <c r="H15" s="150"/>
      <c r="I15" s="150"/>
      <c r="J15" s="150"/>
      <c r="K15" s="150"/>
      <c r="L15" s="151">
        <v>0.56499999999999995</v>
      </c>
      <c r="M15" s="152">
        <f t="shared" si="0"/>
        <v>0.94299999999999995</v>
      </c>
      <c r="N15" s="146"/>
    </row>
    <row r="16" spans="1:14" x14ac:dyDescent="0.45">
      <c r="A16" s="61" t="s">
        <v>188</v>
      </c>
      <c r="B16" t="s">
        <v>218</v>
      </c>
      <c r="C16" s="150">
        <v>0.20799999999999999</v>
      </c>
      <c r="D16" s="150"/>
      <c r="E16" s="150"/>
      <c r="F16" s="150"/>
      <c r="G16" s="150"/>
      <c r="H16" s="150"/>
      <c r="I16" s="150">
        <v>0.22109999999999999</v>
      </c>
      <c r="J16" s="150"/>
      <c r="K16" s="150">
        <v>0.129</v>
      </c>
      <c r="L16" s="151">
        <v>0.317</v>
      </c>
      <c r="M16" s="152">
        <f t="shared" si="0"/>
        <v>0.87509999999999999</v>
      </c>
      <c r="N16" s="146"/>
    </row>
    <row r="17" spans="1:14" x14ac:dyDescent="0.45">
      <c r="A17" s="61" t="s">
        <v>192</v>
      </c>
      <c r="B17" t="s">
        <v>220</v>
      </c>
      <c r="C17" s="150">
        <v>7.5800000000000006E-2</v>
      </c>
      <c r="D17" s="150"/>
      <c r="E17" s="150">
        <v>6.8199999999999997E-2</v>
      </c>
      <c r="F17" s="150"/>
      <c r="G17" s="150">
        <v>3.5000000000000003E-2</v>
      </c>
      <c r="H17" s="150"/>
      <c r="I17" s="150">
        <v>0.61699999999999999</v>
      </c>
      <c r="J17" s="150"/>
      <c r="K17" s="150">
        <v>5.04E-2</v>
      </c>
      <c r="L17" s="151"/>
      <c r="M17" s="152">
        <f t="shared" si="0"/>
        <v>0.84640000000000004</v>
      </c>
      <c r="N17" s="146"/>
    </row>
    <row r="18" spans="1:14" x14ac:dyDescent="0.45">
      <c r="A18" s="61" t="s">
        <v>213</v>
      </c>
      <c r="B18" t="s">
        <v>225</v>
      </c>
      <c r="C18" s="150">
        <v>0.15</v>
      </c>
      <c r="D18" s="150"/>
      <c r="E18" s="150">
        <v>0.128</v>
      </c>
      <c r="F18" s="150"/>
      <c r="G18" s="150">
        <v>6.5600000000000006E-2</v>
      </c>
      <c r="H18" s="150"/>
      <c r="I18" s="150">
        <v>0.26840000000000003</v>
      </c>
      <c r="J18" s="150"/>
      <c r="K18" s="150">
        <v>0.11600000000000001</v>
      </c>
      <c r="L18" s="151"/>
      <c r="M18" s="152">
        <f t="shared" si="0"/>
        <v>0.72800000000000009</v>
      </c>
      <c r="N18" s="146"/>
    </row>
    <row r="19" spans="1:14" x14ac:dyDescent="0.45">
      <c r="A19" s="61" t="s">
        <v>214</v>
      </c>
      <c r="B19" t="s">
        <v>226</v>
      </c>
      <c r="C19" s="150">
        <v>8.9399999999999993E-2</v>
      </c>
      <c r="D19" s="150"/>
      <c r="E19" s="150">
        <v>7.4300000000000005E-2</v>
      </c>
      <c r="F19" s="150">
        <v>3.1E-2</v>
      </c>
      <c r="G19" s="150">
        <v>3.8100000000000002E-2</v>
      </c>
      <c r="H19" s="150"/>
      <c r="I19" s="150"/>
      <c r="J19" s="150">
        <v>3.1E-2</v>
      </c>
      <c r="K19" s="150">
        <v>0.192</v>
      </c>
      <c r="L19" s="151">
        <v>0.40799999999999997</v>
      </c>
      <c r="M19" s="152">
        <f t="shared" si="0"/>
        <v>0.86380000000000001</v>
      </c>
      <c r="N19" s="146"/>
    </row>
    <row r="20" spans="1:14" x14ac:dyDescent="0.45">
      <c r="A20" s="61" t="s">
        <v>211</v>
      </c>
      <c r="B20" t="s">
        <v>224</v>
      </c>
      <c r="C20" s="150"/>
      <c r="D20" s="150"/>
      <c r="E20" s="150"/>
      <c r="F20" s="150"/>
      <c r="G20" s="150"/>
      <c r="H20" s="150"/>
      <c r="I20" s="150"/>
      <c r="J20" s="150"/>
      <c r="K20" s="150"/>
      <c r="L20" s="151">
        <v>0.99</v>
      </c>
      <c r="M20" s="152">
        <f t="shared" si="0"/>
        <v>0.99</v>
      </c>
      <c r="N20" s="146"/>
    </row>
    <row r="21" spans="1:14" x14ac:dyDescent="0.45">
      <c r="C21" s="150"/>
      <c r="D21" s="150"/>
      <c r="E21" s="150"/>
      <c r="F21" s="150"/>
      <c r="G21" s="150"/>
      <c r="H21" s="150"/>
      <c r="I21" s="150"/>
      <c r="J21" s="150"/>
      <c r="K21" s="150"/>
      <c r="L21" s="151"/>
      <c r="M21" s="146"/>
      <c r="N21" s="146"/>
    </row>
    <row r="22" spans="1:14" x14ac:dyDescent="0.45">
      <c r="C22" s="150"/>
      <c r="D22" s="150"/>
      <c r="E22" s="150"/>
      <c r="F22" s="150"/>
      <c r="G22" s="150"/>
      <c r="H22" s="150"/>
      <c r="I22" s="150"/>
      <c r="J22" s="150"/>
      <c r="K22" s="150"/>
      <c r="L22" s="151"/>
      <c r="M22" s="146"/>
      <c r="N22" s="146"/>
    </row>
  </sheetData>
  <conditionalFormatting sqref="C5:K5">
    <cfRule type="colorScale" priority="51">
      <colorScale>
        <cfvo type="min"/>
        <cfvo type="percentile" val="50"/>
        <cfvo type="max"/>
        <color rgb="FF63BE7B"/>
        <color rgb="FFFFEB84"/>
        <color rgb="FFF8696B"/>
      </colorScale>
    </cfRule>
  </conditionalFormatting>
  <conditionalFormatting sqref="C6:K6">
    <cfRule type="colorScale" priority="34">
      <colorScale>
        <cfvo type="min"/>
        <cfvo type="percentile" val="50"/>
        <cfvo type="max"/>
        <color rgb="FF63BE7B"/>
        <color rgb="FFFFEB84"/>
        <color rgb="FFF8696B"/>
      </colorScale>
    </cfRule>
  </conditionalFormatting>
  <conditionalFormatting sqref="C7:K7">
    <cfRule type="colorScale" priority="32">
      <colorScale>
        <cfvo type="min"/>
        <cfvo type="percentile" val="50"/>
        <cfvo type="max"/>
        <color rgb="FF63BE7B"/>
        <color rgb="FFFFEB84"/>
        <color rgb="FFF8696B"/>
      </colorScale>
    </cfRule>
  </conditionalFormatting>
  <conditionalFormatting sqref="C8:K8">
    <cfRule type="colorScale" priority="30">
      <colorScale>
        <cfvo type="min"/>
        <cfvo type="percentile" val="50"/>
        <cfvo type="max"/>
        <color rgb="FF63BE7B"/>
        <color rgb="FFFFEB84"/>
        <color rgb="FFF8696B"/>
      </colorScale>
    </cfRule>
  </conditionalFormatting>
  <conditionalFormatting sqref="C9:K9">
    <cfRule type="colorScale" priority="28">
      <colorScale>
        <cfvo type="min"/>
        <cfvo type="percentile" val="50"/>
        <cfvo type="max"/>
        <color rgb="FF63BE7B"/>
        <color rgb="FFFFEB84"/>
        <color rgb="FFF8696B"/>
      </colorScale>
    </cfRule>
  </conditionalFormatting>
  <conditionalFormatting sqref="C10:K10">
    <cfRule type="colorScale" priority="26">
      <colorScale>
        <cfvo type="min"/>
        <cfvo type="percentile" val="50"/>
        <cfvo type="max"/>
        <color rgb="FF63BE7B"/>
        <color rgb="FFFFEB84"/>
        <color rgb="FFF8696B"/>
      </colorScale>
    </cfRule>
  </conditionalFormatting>
  <conditionalFormatting sqref="C11:K11">
    <cfRule type="colorScale" priority="24">
      <colorScale>
        <cfvo type="min"/>
        <cfvo type="percentile" val="50"/>
        <cfvo type="max"/>
        <color rgb="FF63BE7B"/>
        <color rgb="FFFFEB84"/>
        <color rgb="FFF8696B"/>
      </colorScale>
    </cfRule>
  </conditionalFormatting>
  <conditionalFormatting sqref="C12:K12">
    <cfRule type="colorScale" priority="22">
      <colorScale>
        <cfvo type="min"/>
        <cfvo type="percentile" val="50"/>
        <cfvo type="max"/>
        <color rgb="FF63BE7B"/>
        <color rgb="FFFFEB84"/>
        <color rgb="FFF8696B"/>
      </colorScale>
    </cfRule>
  </conditionalFormatting>
  <conditionalFormatting sqref="C13:K13">
    <cfRule type="colorScale" priority="20">
      <colorScale>
        <cfvo type="min"/>
        <cfvo type="percentile" val="50"/>
        <cfvo type="max"/>
        <color rgb="FF63BE7B"/>
        <color rgb="FFFFEB84"/>
        <color rgb="FFF8696B"/>
      </colorScale>
    </cfRule>
  </conditionalFormatting>
  <conditionalFormatting sqref="C14:K14">
    <cfRule type="colorScale" priority="18">
      <colorScale>
        <cfvo type="min"/>
        <cfvo type="percentile" val="50"/>
        <cfvo type="max"/>
        <color rgb="FF63BE7B"/>
        <color rgb="FFFFEB84"/>
        <color rgb="FFF8696B"/>
      </colorScale>
    </cfRule>
  </conditionalFormatting>
  <conditionalFormatting sqref="C15:K15">
    <cfRule type="colorScale" priority="16">
      <colorScale>
        <cfvo type="min"/>
        <cfvo type="percentile" val="50"/>
        <cfvo type="max"/>
        <color rgb="FF63BE7B"/>
        <color rgb="FFFFEB84"/>
        <color rgb="FFF8696B"/>
      </colorScale>
    </cfRule>
  </conditionalFormatting>
  <conditionalFormatting sqref="C16:K16">
    <cfRule type="colorScale" priority="14">
      <colorScale>
        <cfvo type="min"/>
        <cfvo type="percentile" val="50"/>
        <cfvo type="max"/>
        <color rgb="FF63BE7B"/>
        <color rgb="FFFFEB84"/>
        <color rgb="FFF8696B"/>
      </colorScale>
    </cfRule>
  </conditionalFormatting>
  <conditionalFormatting sqref="C17:K17">
    <cfRule type="colorScale" priority="12">
      <colorScale>
        <cfvo type="min"/>
        <cfvo type="percentile" val="50"/>
        <cfvo type="max"/>
        <color rgb="FF63BE7B"/>
        <color rgb="FFFFEB84"/>
        <color rgb="FFF8696B"/>
      </colorScale>
    </cfRule>
  </conditionalFormatting>
  <conditionalFormatting sqref="C18:K18">
    <cfRule type="colorScale" priority="10">
      <colorScale>
        <cfvo type="min"/>
        <cfvo type="percentile" val="50"/>
        <cfvo type="max"/>
        <color rgb="FF63BE7B"/>
        <color rgb="FFFFEB84"/>
        <color rgb="FFF8696B"/>
      </colorScale>
    </cfRule>
  </conditionalFormatting>
  <conditionalFormatting sqref="C19:K19">
    <cfRule type="colorScale" priority="8">
      <colorScale>
        <cfvo type="min"/>
        <cfvo type="percentile" val="50"/>
        <cfvo type="max"/>
        <color rgb="FF63BE7B"/>
        <color rgb="FFFFEB84"/>
        <color rgb="FFF8696B"/>
      </colorScale>
    </cfRule>
  </conditionalFormatting>
  <conditionalFormatting sqref="C20:K20">
    <cfRule type="colorScale" priority="6">
      <colorScale>
        <cfvo type="min"/>
        <cfvo type="percentile" val="50"/>
        <cfvo type="max"/>
        <color rgb="FF63BE7B"/>
        <color rgb="FFFFEB84"/>
        <color rgb="FFF8696B"/>
      </colorScale>
    </cfRule>
  </conditionalFormatting>
  <conditionalFormatting sqref="C21:K21">
    <cfRule type="colorScale" priority="4">
      <colorScale>
        <cfvo type="min"/>
        <cfvo type="percentile" val="50"/>
        <cfvo type="max"/>
        <color rgb="FF63BE7B"/>
        <color rgb="FFFFEB84"/>
        <color rgb="FFF8696B"/>
      </colorScale>
    </cfRule>
  </conditionalFormatting>
  <conditionalFormatting sqref="C22:K22">
    <cfRule type="colorScale" priority="2">
      <colorScale>
        <cfvo type="min"/>
        <cfvo type="percentile" val="50"/>
        <cfvo type="max"/>
        <color rgb="FF63BE7B"/>
        <color rgb="FFFFEB84"/>
        <color rgb="FFF8696B"/>
      </colorScale>
    </cfRule>
  </conditionalFormatting>
  <conditionalFormatting sqref="C5:L5">
    <cfRule type="colorScale" priority="35">
      <colorScale>
        <cfvo type="min"/>
        <cfvo type="percentile" val="50"/>
        <cfvo type="max"/>
        <color rgb="FF63BE7B"/>
        <color rgb="FFFFEB84"/>
        <color rgb="FFF8696B"/>
      </colorScale>
    </cfRule>
  </conditionalFormatting>
  <conditionalFormatting sqref="C6:L6">
    <cfRule type="colorScale" priority="33">
      <colorScale>
        <cfvo type="min"/>
        <cfvo type="percentile" val="50"/>
        <cfvo type="max"/>
        <color rgb="FF63BE7B"/>
        <color rgb="FFFFEB84"/>
        <color rgb="FFF8696B"/>
      </colorScale>
    </cfRule>
  </conditionalFormatting>
  <conditionalFormatting sqref="C7:L7">
    <cfRule type="colorScale" priority="31">
      <colorScale>
        <cfvo type="min"/>
        <cfvo type="percentile" val="50"/>
        <cfvo type="max"/>
        <color rgb="FF63BE7B"/>
        <color rgb="FFFFEB84"/>
        <color rgb="FFF8696B"/>
      </colorScale>
    </cfRule>
  </conditionalFormatting>
  <conditionalFormatting sqref="C8:L8">
    <cfRule type="colorScale" priority="29">
      <colorScale>
        <cfvo type="min"/>
        <cfvo type="percentile" val="50"/>
        <cfvo type="max"/>
        <color rgb="FF63BE7B"/>
        <color rgb="FFFFEB84"/>
        <color rgb="FFF8696B"/>
      </colorScale>
    </cfRule>
  </conditionalFormatting>
  <conditionalFormatting sqref="C9:L9">
    <cfRule type="colorScale" priority="27">
      <colorScale>
        <cfvo type="min"/>
        <cfvo type="percentile" val="50"/>
        <cfvo type="max"/>
        <color rgb="FF63BE7B"/>
        <color rgb="FFFFEB84"/>
        <color rgb="FFF8696B"/>
      </colorScale>
    </cfRule>
  </conditionalFormatting>
  <conditionalFormatting sqref="C10:L10">
    <cfRule type="colorScale" priority="25">
      <colorScale>
        <cfvo type="min"/>
        <cfvo type="percentile" val="50"/>
        <cfvo type="max"/>
        <color rgb="FF63BE7B"/>
        <color rgb="FFFFEB84"/>
        <color rgb="FFF8696B"/>
      </colorScale>
    </cfRule>
  </conditionalFormatting>
  <conditionalFormatting sqref="C11:L11">
    <cfRule type="colorScale" priority="23">
      <colorScale>
        <cfvo type="min"/>
        <cfvo type="percentile" val="50"/>
        <cfvo type="max"/>
        <color rgb="FF63BE7B"/>
        <color rgb="FFFFEB84"/>
        <color rgb="FFF8696B"/>
      </colorScale>
    </cfRule>
  </conditionalFormatting>
  <conditionalFormatting sqref="C12:L12">
    <cfRule type="colorScale" priority="21">
      <colorScale>
        <cfvo type="min"/>
        <cfvo type="percentile" val="50"/>
        <cfvo type="max"/>
        <color rgb="FF63BE7B"/>
        <color rgb="FFFFEB84"/>
        <color rgb="FFF8696B"/>
      </colorScale>
    </cfRule>
  </conditionalFormatting>
  <conditionalFormatting sqref="C13:L13">
    <cfRule type="colorScale" priority="19">
      <colorScale>
        <cfvo type="min"/>
        <cfvo type="percentile" val="50"/>
        <cfvo type="max"/>
        <color rgb="FF63BE7B"/>
        <color rgb="FFFFEB84"/>
        <color rgb="FFF8696B"/>
      </colorScale>
    </cfRule>
  </conditionalFormatting>
  <conditionalFormatting sqref="C14:L14">
    <cfRule type="colorScale" priority="17">
      <colorScale>
        <cfvo type="min"/>
        <cfvo type="percentile" val="50"/>
        <cfvo type="max"/>
        <color rgb="FF63BE7B"/>
        <color rgb="FFFFEB84"/>
        <color rgb="FFF8696B"/>
      </colorScale>
    </cfRule>
  </conditionalFormatting>
  <conditionalFormatting sqref="C15:L15">
    <cfRule type="colorScale" priority="15">
      <colorScale>
        <cfvo type="min"/>
        <cfvo type="percentile" val="50"/>
        <cfvo type="max"/>
        <color rgb="FF63BE7B"/>
        <color rgb="FFFFEB84"/>
        <color rgb="FFF8696B"/>
      </colorScale>
    </cfRule>
  </conditionalFormatting>
  <conditionalFormatting sqref="C16:L16">
    <cfRule type="colorScale" priority="13">
      <colorScale>
        <cfvo type="min"/>
        <cfvo type="percentile" val="50"/>
        <cfvo type="max"/>
        <color rgb="FF63BE7B"/>
        <color rgb="FFFFEB84"/>
        <color rgb="FFF8696B"/>
      </colorScale>
    </cfRule>
  </conditionalFormatting>
  <conditionalFormatting sqref="C17:L17">
    <cfRule type="colorScale" priority="11">
      <colorScale>
        <cfvo type="min"/>
        <cfvo type="percentile" val="50"/>
        <cfvo type="max"/>
        <color rgb="FF63BE7B"/>
        <color rgb="FFFFEB84"/>
        <color rgb="FFF8696B"/>
      </colorScale>
    </cfRule>
  </conditionalFormatting>
  <conditionalFormatting sqref="C18:L18">
    <cfRule type="colorScale" priority="9">
      <colorScale>
        <cfvo type="min"/>
        <cfvo type="percentile" val="50"/>
        <cfvo type="max"/>
        <color rgb="FF63BE7B"/>
        <color rgb="FFFFEB84"/>
        <color rgb="FFF8696B"/>
      </colorScale>
    </cfRule>
  </conditionalFormatting>
  <conditionalFormatting sqref="C19:L19">
    <cfRule type="colorScale" priority="7">
      <colorScale>
        <cfvo type="min"/>
        <cfvo type="percentile" val="50"/>
        <cfvo type="max"/>
        <color rgb="FF63BE7B"/>
        <color rgb="FFFFEB84"/>
        <color rgb="FFF8696B"/>
      </colorScale>
    </cfRule>
  </conditionalFormatting>
  <conditionalFormatting sqref="C20:L20">
    <cfRule type="colorScale" priority="5">
      <colorScale>
        <cfvo type="min"/>
        <cfvo type="percentile" val="50"/>
        <cfvo type="max"/>
        <color rgb="FF63BE7B"/>
        <color rgb="FFFFEB84"/>
        <color rgb="FFF8696B"/>
      </colorScale>
    </cfRule>
  </conditionalFormatting>
  <conditionalFormatting sqref="C21:L21">
    <cfRule type="colorScale" priority="3">
      <colorScale>
        <cfvo type="min"/>
        <cfvo type="percentile" val="50"/>
        <cfvo type="max"/>
        <color rgb="FF63BE7B"/>
        <color rgb="FFFFEB84"/>
        <color rgb="FFF8696B"/>
      </colorScale>
    </cfRule>
  </conditionalFormatting>
  <conditionalFormatting sqref="C22:L22">
    <cfRule type="colorScale" priority="1">
      <colorScale>
        <cfvo type="min"/>
        <cfvo type="percentile" val="50"/>
        <cfvo type="max"/>
        <color rgb="FF63BE7B"/>
        <color rgb="FFFFEB84"/>
        <color rgb="FFF8696B"/>
      </colorScale>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B15"/>
  <sheetViews>
    <sheetView workbookViewId="0">
      <selection activeCell="B31" sqref="B31"/>
    </sheetView>
  </sheetViews>
  <sheetFormatPr defaultRowHeight="16" x14ac:dyDescent="0.45"/>
  <cols>
    <col min="2" max="2" width="42.81640625" bestFit="1" customWidth="1"/>
  </cols>
  <sheetData>
    <row r="1" spans="2:2" x14ac:dyDescent="0.45">
      <c r="B1" t="s">
        <v>364</v>
      </c>
    </row>
    <row r="2" spans="2:2" x14ac:dyDescent="0.45">
      <c r="B2" t="s">
        <v>347</v>
      </c>
    </row>
    <row r="3" spans="2:2" x14ac:dyDescent="0.45">
      <c r="B3" t="s">
        <v>400</v>
      </c>
    </row>
    <row r="4" spans="2:2" x14ac:dyDescent="0.45">
      <c r="B4" t="s">
        <v>389</v>
      </c>
    </row>
    <row r="5" spans="2:2" x14ac:dyDescent="0.45">
      <c r="B5" t="s">
        <v>390</v>
      </c>
    </row>
    <row r="6" spans="2:2" x14ac:dyDescent="0.45">
      <c r="B6" t="s">
        <v>378</v>
      </c>
    </row>
    <row r="7" spans="2:2" x14ac:dyDescent="0.45">
      <c r="B7" t="s">
        <v>387</v>
      </c>
    </row>
    <row r="8" spans="2:2" x14ac:dyDescent="0.45">
      <c r="B8" t="s">
        <v>394</v>
      </c>
    </row>
    <row r="9" spans="2:2" x14ac:dyDescent="0.45">
      <c r="B9" t="s">
        <v>388</v>
      </c>
    </row>
    <row r="10" spans="2:2" x14ac:dyDescent="0.45">
      <c r="B10" t="s">
        <v>391</v>
      </c>
    </row>
    <row r="11" spans="2:2" x14ac:dyDescent="0.45">
      <c r="B11" t="s">
        <v>395</v>
      </c>
    </row>
    <row r="12" spans="2:2" x14ac:dyDescent="0.45">
      <c r="B12" t="s">
        <v>402</v>
      </c>
    </row>
    <row r="13" spans="2:2" x14ac:dyDescent="0.45">
      <c r="B13" t="s">
        <v>43</v>
      </c>
    </row>
    <row r="14" spans="2:2" x14ac:dyDescent="0.45">
      <c r="B14" t="s">
        <v>392</v>
      </c>
    </row>
    <row r="15" spans="2:2" x14ac:dyDescent="0.45">
      <c r="B15" t="s">
        <v>393</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sheetPr>
  <dimension ref="B2:C11"/>
  <sheetViews>
    <sheetView workbookViewId="0">
      <selection activeCell="C4" sqref="C4"/>
    </sheetView>
  </sheetViews>
  <sheetFormatPr defaultRowHeight="16" x14ac:dyDescent="0.45"/>
  <cols>
    <col min="2" max="2" width="20.81640625" bestFit="1" customWidth="1"/>
  </cols>
  <sheetData>
    <row r="2" spans="2:3" x14ac:dyDescent="0.45">
      <c r="B2" t="s">
        <v>317</v>
      </c>
    </row>
    <row r="4" spans="2:3" x14ac:dyDescent="0.45">
      <c r="B4" s="1" t="s">
        <v>318</v>
      </c>
      <c r="C4" t="s">
        <v>179</v>
      </c>
    </row>
    <row r="5" spans="2:3" x14ac:dyDescent="0.45">
      <c r="B5" s="1" t="s">
        <v>319</v>
      </c>
      <c r="C5" t="s">
        <v>180</v>
      </c>
    </row>
    <row r="6" spans="2:3" x14ac:dyDescent="0.45">
      <c r="B6" s="1" t="s">
        <v>2</v>
      </c>
      <c r="C6" t="s">
        <v>320</v>
      </c>
    </row>
    <row r="7" spans="2:3" x14ac:dyDescent="0.45">
      <c r="B7" s="1" t="s">
        <v>321</v>
      </c>
      <c r="C7" t="s">
        <v>322</v>
      </c>
    </row>
    <row r="8" spans="2:3" x14ac:dyDescent="0.45">
      <c r="B8" s="1" t="s">
        <v>323</v>
      </c>
      <c r="C8" t="s">
        <v>324</v>
      </c>
    </row>
    <row r="9" spans="2:3" x14ac:dyDescent="0.45">
      <c r="B9" s="1" t="s">
        <v>325</v>
      </c>
      <c r="C9" t="s">
        <v>326</v>
      </c>
    </row>
    <row r="11" spans="2:3" x14ac:dyDescent="0.45">
      <c r="B11" s="1" t="s">
        <v>327</v>
      </c>
      <c r="C11" t="s">
        <v>328</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5"/>
  </sheetPr>
  <dimension ref="A1:G29"/>
  <sheetViews>
    <sheetView topLeftCell="A5" zoomScale="90" zoomScaleNormal="90" workbookViewId="0">
      <selection activeCell="C8" sqref="C8"/>
    </sheetView>
  </sheetViews>
  <sheetFormatPr defaultColWidth="8.7265625" defaultRowHeight="16" x14ac:dyDescent="0.45"/>
  <cols>
    <col min="1" max="1" width="16.08984375" style="4" bestFit="1" customWidth="1"/>
    <col min="2" max="2" width="42.26953125" style="4" customWidth="1"/>
    <col min="3" max="3" width="54.08984375" style="4" customWidth="1"/>
    <col min="4" max="4" width="8.453125" style="4" bestFit="1" customWidth="1"/>
    <col min="5" max="5" width="4.54296875" style="4" bestFit="1" customWidth="1"/>
    <col min="6" max="6" width="87" style="9" customWidth="1"/>
    <col min="7" max="7" width="71.7265625" style="4" customWidth="1"/>
    <col min="8" max="16384" width="8.7265625" style="4"/>
  </cols>
  <sheetData>
    <row r="1" spans="1:7" s="106" customFormat="1" x14ac:dyDescent="0.45">
      <c r="B1" s="110" t="s">
        <v>1</v>
      </c>
      <c r="C1" s="110" t="s">
        <v>337</v>
      </c>
      <c r="D1" s="108" t="s">
        <v>92</v>
      </c>
      <c r="E1" s="110" t="s">
        <v>2</v>
      </c>
      <c r="F1" s="108" t="s">
        <v>331</v>
      </c>
    </row>
    <row r="2" spans="1:7" ht="48" x14ac:dyDescent="0.45">
      <c r="A2" s="4" t="s">
        <v>21</v>
      </c>
      <c r="B2" s="4" t="s">
        <v>175</v>
      </c>
      <c r="C2" s="4" t="s">
        <v>480</v>
      </c>
      <c r="D2" s="53">
        <f>SUM(D15,D18)</f>
        <v>1.0076380093868731</v>
      </c>
      <c r="E2" s="4" t="s">
        <v>3</v>
      </c>
      <c r="F2" s="9" t="s">
        <v>437</v>
      </c>
      <c r="G2" s="26"/>
    </row>
    <row r="3" spans="1:7" x14ac:dyDescent="0.45">
      <c r="A3" s="4" t="s">
        <v>21</v>
      </c>
      <c r="B3" s="4" t="s">
        <v>329</v>
      </c>
      <c r="C3" s="4" t="s">
        <v>481</v>
      </c>
      <c r="D3" s="40">
        <f>0.4*share_fresh</f>
        <v>0.35003528581510235</v>
      </c>
      <c r="E3" s="4" t="s">
        <v>3</v>
      </c>
      <c r="F3" s="9" t="s">
        <v>330</v>
      </c>
    </row>
    <row r="4" spans="1:7" ht="32" x14ac:dyDescent="0.45">
      <c r="A4" s="4" t="s">
        <v>21</v>
      </c>
      <c r="B4" s="14" t="s">
        <v>332</v>
      </c>
      <c r="C4" s="4" t="s">
        <v>482</v>
      </c>
      <c r="D4" s="54">
        <f>wax_volume_per_fruit*wax_density*fruit_average_weight*D2</f>
        <v>2.8601143885912235E-6</v>
      </c>
      <c r="E4" s="4" t="s">
        <v>3</v>
      </c>
      <c r="F4" s="9" t="s">
        <v>333</v>
      </c>
    </row>
    <row r="5" spans="1:7" x14ac:dyDescent="0.45">
      <c r="A5" s="4" t="s">
        <v>21</v>
      </c>
      <c r="B5" s="14" t="s">
        <v>334</v>
      </c>
      <c r="C5" s="16" t="s">
        <v>479</v>
      </c>
      <c r="D5" s="86" t="s">
        <v>28</v>
      </c>
      <c r="F5" s="9" t="s">
        <v>336</v>
      </c>
    </row>
    <row r="6" spans="1:7" ht="32" x14ac:dyDescent="0.45">
      <c r="A6" s="4" t="s">
        <v>21</v>
      </c>
      <c r="B6" s="4" t="s">
        <v>335</v>
      </c>
      <c r="C6" s="14" t="s">
        <v>483</v>
      </c>
      <c r="D6" s="55">
        <f>carton_weight*D2</f>
        <v>7.456521269462861E-2</v>
      </c>
      <c r="E6" s="4" t="s">
        <v>3</v>
      </c>
      <c r="F6" s="9" t="s">
        <v>338</v>
      </c>
    </row>
    <row r="7" spans="1:7" ht="32" x14ac:dyDescent="0.45">
      <c r="A7" s="4" t="s">
        <v>21</v>
      </c>
      <c r="B7" s="4" t="s">
        <v>335</v>
      </c>
      <c r="C7" s="4" t="s">
        <v>484</v>
      </c>
      <c r="D7" s="54">
        <f>(1/(1240+91.76))*(D2+D6)</f>
        <v>8.1261129789263957E-4</v>
      </c>
      <c r="E7" s="4" t="s">
        <v>10</v>
      </c>
      <c r="F7" s="9" t="s">
        <v>68</v>
      </c>
    </row>
    <row r="8" spans="1:7" ht="80" x14ac:dyDescent="0.45">
      <c r="A8" s="4" t="s">
        <v>21</v>
      </c>
      <c r="B8" s="4" t="s">
        <v>11</v>
      </c>
      <c r="C8" s="14" t="s">
        <v>485</v>
      </c>
      <c r="D8" s="54">
        <f>(packhouse_size/(packhouse_PV*packhouse_lifetime)*share_orange)*share_fresh</f>
        <v>1.172618207480593E-6</v>
      </c>
      <c r="E8" s="4" t="s">
        <v>7</v>
      </c>
      <c r="F8" s="16" t="s">
        <v>340</v>
      </c>
    </row>
    <row r="9" spans="1:7" ht="64" x14ac:dyDescent="0.45">
      <c r="A9" s="4" t="s">
        <v>21</v>
      </c>
      <c r="B9" s="4" t="s">
        <v>11</v>
      </c>
      <c r="C9" s="14" t="s">
        <v>486</v>
      </c>
      <c r="D9" s="54">
        <f>0.000000141*share_fresh</f>
        <v>1.2338743824982357E-7</v>
      </c>
      <c r="E9" s="4" t="s">
        <v>159</v>
      </c>
      <c r="F9" s="16" t="s">
        <v>339</v>
      </c>
    </row>
    <row r="10" spans="1:7" ht="64" x14ac:dyDescent="0.45">
      <c r="A10" s="4" t="s">
        <v>21</v>
      </c>
      <c r="B10" s="9" t="s">
        <v>341</v>
      </c>
      <c r="C10" s="16" t="s">
        <v>479</v>
      </c>
      <c r="D10" s="54">
        <f>0.0742*share_fresh</f>
        <v>6.4931545518701492E-2</v>
      </c>
      <c r="E10" s="4" t="s">
        <v>9</v>
      </c>
      <c r="F10" s="16" t="s">
        <v>342</v>
      </c>
    </row>
    <row r="11" spans="1:7" x14ac:dyDescent="0.45">
      <c r="A11" s="4" t="s">
        <v>21</v>
      </c>
      <c r="B11" s="4" t="s">
        <v>343</v>
      </c>
      <c r="C11" s="16" t="s">
        <v>487</v>
      </c>
      <c r="D11" s="56">
        <f>D15/1000*transport_packhouse</f>
        <v>0.01</v>
      </c>
      <c r="E11" s="4" t="s">
        <v>8</v>
      </c>
      <c r="F11" s="9" t="s">
        <v>344</v>
      </c>
    </row>
    <row r="12" spans="1:7" x14ac:dyDescent="0.45">
      <c r="C12" s="16"/>
      <c r="D12" s="16"/>
    </row>
    <row r="13" spans="1:7" x14ac:dyDescent="0.45">
      <c r="C13" s="16"/>
      <c r="D13" s="16"/>
    </row>
    <row r="14" spans="1:7" s="106" customFormat="1" x14ac:dyDescent="0.45">
      <c r="B14" s="110" t="s">
        <v>0</v>
      </c>
      <c r="C14" s="110" t="s">
        <v>337</v>
      </c>
      <c r="D14" s="108" t="s">
        <v>92</v>
      </c>
      <c r="E14" s="110" t="s">
        <v>2</v>
      </c>
      <c r="F14" s="108" t="s">
        <v>331</v>
      </c>
    </row>
    <row r="15" spans="1:7" x14ac:dyDescent="0.45">
      <c r="A15" s="4" t="s">
        <v>345</v>
      </c>
      <c r="B15" s="4" t="s">
        <v>66</v>
      </c>
      <c r="C15" s="4" t="s">
        <v>65</v>
      </c>
      <c r="D15" s="86">
        <v>1</v>
      </c>
      <c r="E15" s="4" t="s">
        <v>3</v>
      </c>
      <c r="F15" s="4" t="s">
        <v>67</v>
      </c>
    </row>
    <row r="16" spans="1:7" x14ac:dyDescent="0.45">
      <c r="A16" s="4" t="s">
        <v>22</v>
      </c>
      <c r="B16" s="4" t="s">
        <v>4</v>
      </c>
      <c r="C16" s="4" t="s">
        <v>488</v>
      </c>
      <c r="D16" s="57">
        <f>D3/1000</f>
        <v>3.5003528581510233E-4</v>
      </c>
      <c r="E16" s="4" t="s">
        <v>5</v>
      </c>
      <c r="F16" s="9" t="s">
        <v>346</v>
      </c>
    </row>
    <row r="17" spans="1:6" ht="48" x14ac:dyDescent="0.45">
      <c r="A17" s="4" t="s">
        <v>22</v>
      </c>
      <c r="B17" s="4" t="s">
        <v>82</v>
      </c>
      <c r="C17" s="4" t="s">
        <v>81</v>
      </c>
      <c r="D17" s="153">
        <f>D15/share_fresh*share_processing</f>
        <v>0.1351039260969977</v>
      </c>
      <c r="E17" s="4" t="s">
        <v>3</v>
      </c>
      <c r="F17" s="16" t="s">
        <v>435</v>
      </c>
    </row>
    <row r="18" spans="1:6" ht="32" x14ac:dyDescent="0.45">
      <c r="A18" s="4" t="s">
        <v>22</v>
      </c>
      <c r="B18" s="4" t="s">
        <v>83</v>
      </c>
      <c r="C18" s="4" t="s">
        <v>489</v>
      </c>
      <c r="D18" s="55">
        <f>D15/share_fresh*share_compost_packhouse</f>
        <v>7.6380093868731987E-3</v>
      </c>
      <c r="E18" s="4" t="s">
        <v>3</v>
      </c>
      <c r="F18" s="16" t="s">
        <v>436</v>
      </c>
    </row>
    <row r="20" spans="1:6" x14ac:dyDescent="0.45">
      <c r="D20" s="115"/>
    </row>
    <row r="21" spans="1:6" x14ac:dyDescent="0.45">
      <c r="B21" s="13"/>
    </row>
    <row r="22" spans="1:6" x14ac:dyDescent="0.45">
      <c r="D22" s="114"/>
    </row>
    <row r="23" spans="1:6" x14ac:dyDescent="0.45">
      <c r="B23" s="4" t="s">
        <v>181</v>
      </c>
    </row>
    <row r="25" spans="1:6" x14ac:dyDescent="0.35">
      <c r="B25" s="15"/>
      <c r="C25" s="15"/>
      <c r="D25" s="15">
        <f>1.26664*D2</f>
        <v>1.2763146082097889</v>
      </c>
      <c r="E25" s="15"/>
    </row>
    <row r="26" spans="1:6" x14ac:dyDescent="0.45">
      <c r="B26" s="3"/>
      <c r="C26" s="19"/>
      <c r="D26" s="9"/>
    </row>
    <row r="27" spans="1:6" x14ac:dyDescent="0.45">
      <c r="B27" s="5"/>
      <c r="C27" s="9"/>
      <c r="D27" s="9"/>
    </row>
    <row r="28" spans="1:6" x14ac:dyDescent="0.45">
      <c r="B28" s="5"/>
      <c r="C28" s="9"/>
    </row>
    <row r="29" spans="1:6" x14ac:dyDescent="0.45">
      <c r="B29" s="5"/>
    </row>
  </sheetData>
  <dataValidations count="1">
    <dataValidation type="list" allowBlank="1" showInputMessage="1" showErrorMessage="1" sqref="A16:A1048576 A2:A14" xr:uid="{00000000-0002-0000-0400-000000000000}">
      <formula1>#REF!</formula1>
    </dataValidation>
  </dataValidations>
  <pageMargins left="0.7" right="0.7" top="0.75" bottom="0.75" header="0.3" footer="0.3"/>
  <pageSetup orientation="portrait" horizontalDpi="4294967293"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sheetPr>
  <dimension ref="A1:F15"/>
  <sheetViews>
    <sheetView zoomScale="90" zoomScaleNormal="90" workbookViewId="0">
      <selection activeCell="C5" sqref="C5"/>
    </sheetView>
  </sheetViews>
  <sheetFormatPr defaultColWidth="8.7265625" defaultRowHeight="16" x14ac:dyDescent="0.45"/>
  <cols>
    <col min="1" max="1" width="16.36328125" style="4" bestFit="1" customWidth="1"/>
    <col min="2" max="2" width="43.6328125" bestFit="1" customWidth="1"/>
    <col min="3" max="3" width="36.453125" customWidth="1"/>
    <col min="4" max="4" width="8" style="8" bestFit="1" customWidth="1"/>
    <col min="5" max="5" width="4.54296875" bestFit="1" customWidth="1"/>
    <col min="6" max="6" width="82.08984375" customWidth="1"/>
  </cols>
  <sheetData>
    <row r="1" spans="1:6" s="109" customFormat="1" x14ac:dyDescent="0.45">
      <c r="A1" s="106"/>
      <c r="B1" s="107" t="s">
        <v>14</v>
      </c>
      <c r="C1" s="107" t="s">
        <v>337</v>
      </c>
      <c r="D1" s="108" t="s">
        <v>92</v>
      </c>
      <c r="E1" s="107" t="s">
        <v>2</v>
      </c>
      <c r="F1" s="107" t="s">
        <v>331</v>
      </c>
    </row>
    <row r="2" spans="1:6" x14ac:dyDescent="0.45">
      <c r="B2" s="4" t="str">
        <f>'2. packaging &amp; palletization'!B15</f>
        <v>packed citrus</v>
      </c>
      <c r="C2" s="4" t="str">
        <f>'2. packaging &amp; palletization'!C15</f>
        <v>[packed citrus]</v>
      </c>
      <c r="D2" s="8">
        <v>1</v>
      </c>
      <c r="E2" t="s">
        <v>3</v>
      </c>
      <c r="F2" s="9" t="s">
        <v>149</v>
      </c>
    </row>
    <row r="3" spans="1:6" ht="32" x14ac:dyDescent="0.45">
      <c r="A3" s="4" t="s">
        <v>21</v>
      </c>
      <c r="B3" s="4" t="s">
        <v>105</v>
      </c>
      <c r="C3" s="16" t="s">
        <v>479</v>
      </c>
      <c r="D3" s="64">
        <f>(Cp_fruit/1000*(Ti_pre_cooling-Tf_pre_cooling))/EC/1000/3.6 + (p_lin1*T_amb_port+p_lin2)*2*(time_pre_cooling-SECT_pre_cooling)*24*3600/1000/3.6/ capacity_pre_cooling</f>
        <v>3.330903470583093E-2</v>
      </c>
      <c r="E3" t="s">
        <v>9</v>
      </c>
      <c r="F3" s="5" t="s">
        <v>348</v>
      </c>
    </row>
    <row r="4" spans="1:6" x14ac:dyDescent="0.45">
      <c r="A4" s="4" t="s">
        <v>21</v>
      </c>
      <c r="B4" s="4" t="s">
        <v>13</v>
      </c>
      <c r="C4" t="s">
        <v>28</v>
      </c>
      <c r="D4" s="8" t="s">
        <v>28</v>
      </c>
      <c r="E4" t="s">
        <v>8</v>
      </c>
      <c r="F4" s="9" t="s">
        <v>96</v>
      </c>
    </row>
    <row r="5" spans="1:6" s="4" customFormat="1" ht="48" x14ac:dyDescent="0.45">
      <c r="A5" s="4" t="s">
        <v>21</v>
      </c>
      <c r="B5" s="4" t="s">
        <v>53</v>
      </c>
      <c r="C5" s="14" t="s">
        <v>485</v>
      </c>
      <c r="D5" s="87">
        <f>(0.8*1.2*60)/((15.5*80*60)*50)</f>
        <v>1.5483870967741933E-5</v>
      </c>
      <c r="E5" s="4" t="s">
        <v>7</v>
      </c>
      <c r="F5" s="9" t="s">
        <v>349</v>
      </c>
    </row>
    <row r="8" spans="1:6" s="109" customFormat="1" x14ac:dyDescent="0.45">
      <c r="A8" s="106"/>
      <c r="B8" s="107" t="s">
        <v>0</v>
      </c>
      <c r="C8" s="107" t="s">
        <v>337</v>
      </c>
      <c r="D8" s="108" t="s">
        <v>92</v>
      </c>
      <c r="E8" s="107" t="s">
        <v>2</v>
      </c>
      <c r="F8" s="107" t="s">
        <v>331</v>
      </c>
    </row>
    <row r="9" spans="1:6" x14ac:dyDescent="0.45">
      <c r="A9" t="s">
        <v>319</v>
      </c>
      <c r="B9" t="s">
        <v>12</v>
      </c>
      <c r="C9" t="s">
        <v>110</v>
      </c>
      <c r="D9" s="8">
        <v>1</v>
      </c>
      <c r="E9" t="s">
        <v>3</v>
      </c>
    </row>
    <row r="10" spans="1:6" s="4" customFormat="1" ht="48" x14ac:dyDescent="0.45">
      <c r="A10" s="4" t="s">
        <v>22</v>
      </c>
      <c r="B10" s="4" t="s">
        <v>6</v>
      </c>
      <c r="C10" s="4" t="s">
        <v>28</v>
      </c>
      <c r="D10" s="9" t="s">
        <v>28</v>
      </c>
      <c r="E10" s="4" t="s">
        <v>3</v>
      </c>
      <c r="F10" s="5" t="s">
        <v>350</v>
      </c>
    </row>
    <row r="15" spans="1:6" ht="16.5" x14ac:dyDescent="0.45">
      <c r="B15" s="11"/>
      <c r="C15" s="10"/>
      <c r="D15" s="12"/>
    </row>
  </sheetData>
  <dataValidations count="1">
    <dataValidation type="list" allowBlank="1" showInputMessage="1" showErrorMessage="1" sqref="A2:A8 A10:A1048576" xr:uid="{00000000-0002-0000-0500-000000000000}">
      <formula1>#REF!</formula1>
    </dataValidation>
  </dataValidations>
  <pageMargins left="0.7" right="0.7" top="0.75" bottom="0.75" header="0.3" footer="0.3"/>
  <pageSetup orientation="portrait" horizontalDpi="4294967293"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sheetPr>
  <dimension ref="A1:G22"/>
  <sheetViews>
    <sheetView zoomScale="90" zoomScaleNormal="90" workbookViewId="0">
      <selection activeCell="C13" sqref="C13"/>
    </sheetView>
  </sheetViews>
  <sheetFormatPr defaultColWidth="8.7265625" defaultRowHeight="16" x14ac:dyDescent="0.45"/>
  <cols>
    <col min="1" max="1" width="16.36328125" style="4" bestFit="1" customWidth="1"/>
    <col min="2" max="2" width="55.81640625" style="4" bestFit="1" customWidth="1"/>
    <col min="3" max="3" width="45.36328125" style="4" bestFit="1" customWidth="1"/>
    <col min="4" max="4" width="12.90625" style="9" bestFit="1" customWidth="1"/>
    <col min="5" max="5" width="4.7265625" style="4" bestFit="1" customWidth="1"/>
    <col min="6" max="6" width="110.6328125" style="4" bestFit="1" customWidth="1"/>
    <col min="7" max="16384" width="8.7265625" style="4"/>
  </cols>
  <sheetData>
    <row r="1" spans="1:7" s="106" customFormat="1" x14ac:dyDescent="0.45">
      <c r="B1" s="110" t="s">
        <v>14</v>
      </c>
      <c r="C1" s="110" t="s">
        <v>337</v>
      </c>
      <c r="D1" s="108" t="s">
        <v>93</v>
      </c>
      <c r="E1" s="110" t="s">
        <v>2</v>
      </c>
      <c r="F1" s="110" t="s">
        <v>331</v>
      </c>
    </row>
    <row r="2" spans="1:7" x14ac:dyDescent="0.45">
      <c r="A2" s="4" t="s">
        <v>21</v>
      </c>
      <c r="B2" s="4" t="str">
        <f>'3. pre-cooling'!B9</f>
        <v>pre-cooled citrus</v>
      </c>
      <c r="C2" s="4" t="str">
        <f>'3. pre-cooling'!C9</f>
        <v>[pre-cooled packed citrus]</v>
      </c>
      <c r="D2" s="9">
        <v>1</v>
      </c>
      <c r="E2" s="4" t="s">
        <v>3</v>
      </c>
    </row>
    <row r="3" spans="1:7" ht="54.5" customHeight="1" x14ac:dyDescent="0.45">
      <c r="A3" s="4" t="s">
        <v>21</v>
      </c>
      <c r="B3" s="18" t="s">
        <v>245</v>
      </c>
      <c r="C3" s="9" t="s">
        <v>490</v>
      </c>
      <c r="D3" s="40">
        <f>(Cp_fruit*(Tf_pre_cooling-Tf_to_port)/1000)/EC/1000</f>
        <v>3.6390243902439022E-2</v>
      </c>
      <c r="E3" s="4" t="s">
        <v>157</v>
      </c>
      <c r="F3" s="5" t="s">
        <v>351</v>
      </c>
    </row>
    <row r="4" spans="1:7" ht="63.5" customHeight="1" x14ac:dyDescent="0.45">
      <c r="A4" s="4" t="s">
        <v>21</v>
      </c>
      <c r="B4" s="18" t="s">
        <v>228</v>
      </c>
      <c r="C4" s="9" t="s">
        <v>490</v>
      </c>
      <c r="D4" s="40">
        <f>(p_lin1*T_amb_shipment+p_lin2)*2*(time_shipment-SECT_shipment)*24*3600/1000/(fruit_per_carton_weight*cartons_per_pallet*pallet_per_container)</f>
        <v>0.38475034838709676</v>
      </c>
      <c r="E4" s="4" t="s">
        <v>157</v>
      </c>
      <c r="F4" s="5" t="s">
        <v>351</v>
      </c>
    </row>
    <row r="5" spans="1:7" x14ac:dyDescent="0.45">
      <c r="A5" s="4" t="s">
        <v>21</v>
      </c>
      <c r="B5" s="4" t="s">
        <v>78</v>
      </c>
      <c r="C5" s="17" t="s">
        <v>61</v>
      </c>
      <c r="D5" s="65" t="s">
        <v>61</v>
      </c>
      <c r="F5" s="16" t="s">
        <v>148</v>
      </c>
    </row>
    <row r="6" spans="1:7" customFormat="1" ht="32" x14ac:dyDescent="0.45">
      <c r="A6" s="4" t="s">
        <v>21</v>
      </c>
      <c r="B6" s="4" t="s">
        <v>419</v>
      </c>
      <c r="C6" s="9" t="s">
        <v>492</v>
      </c>
      <c r="D6" s="58">
        <f>1/1000*transport_to_port</f>
        <v>0.14899999999999999</v>
      </c>
      <c r="E6" s="4" t="s">
        <v>8</v>
      </c>
      <c r="F6" s="9" t="s">
        <v>176</v>
      </c>
      <c r="G6" s="12"/>
    </row>
    <row r="7" spans="1:7" x14ac:dyDescent="0.45">
      <c r="A7" s="4" t="s">
        <v>21</v>
      </c>
      <c r="B7" s="4" t="s">
        <v>56</v>
      </c>
      <c r="C7" s="9" t="s">
        <v>491</v>
      </c>
      <c r="D7" s="58">
        <f>1/1000*transport_ship</f>
        <v>12.160232000000001</v>
      </c>
      <c r="E7" s="4" t="s">
        <v>8</v>
      </c>
      <c r="F7" s="9" t="s">
        <v>176</v>
      </c>
    </row>
    <row r="8" spans="1:7" x14ac:dyDescent="0.45">
      <c r="C8" s="9"/>
      <c r="F8" s="9"/>
    </row>
    <row r="9" spans="1:7" x14ac:dyDescent="0.45">
      <c r="C9"/>
    </row>
    <row r="10" spans="1:7" s="106" customFormat="1" x14ac:dyDescent="0.45">
      <c r="B10" s="110" t="s">
        <v>0</v>
      </c>
      <c r="C10" s="110" t="s">
        <v>337</v>
      </c>
      <c r="D10" s="108" t="s">
        <v>93</v>
      </c>
      <c r="E10" s="110" t="s">
        <v>2</v>
      </c>
      <c r="F10" s="110" t="s">
        <v>331</v>
      </c>
    </row>
    <row r="11" spans="1:7" x14ac:dyDescent="0.45">
      <c r="B11" s="4" t="s">
        <v>15</v>
      </c>
      <c r="C11" s="4" t="s">
        <v>111</v>
      </c>
      <c r="D11" s="9">
        <v>1</v>
      </c>
      <c r="E11" s="4" t="s">
        <v>3</v>
      </c>
    </row>
    <row r="12" spans="1:7" ht="32" x14ac:dyDescent="0.45">
      <c r="A12" s="4" t="s">
        <v>22</v>
      </c>
      <c r="B12" s="14" t="s">
        <v>59</v>
      </c>
      <c r="C12" s="4" t="s">
        <v>28</v>
      </c>
      <c r="D12" s="9" t="s">
        <v>28</v>
      </c>
      <c r="E12" s="4" t="s">
        <v>3</v>
      </c>
      <c r="F12" s="5" t="s">
        <v>352</v>
      </c>
    </row>
    <row r="17" spans="2:3" x14ac:dyDescent="0.45">
      <c r="B17"/>
      <c r="C17"/>
    </row>
    <row r="18" spans="2:3" x14ac:dyDescent="0.45">
      <c r="B18"/>
      <c r="C18"/>
    </row>
    <row r="19" spans="2:3" x14ac:dyDescent="0.45">
      <c r="B19"/>
      <c r="C19"/>
    </row>
    <row r="20" spans="2:3" x14ac:dyDescent="0.45">
      <c r="B20"/>
      <c r="C20"/>
    </row>
    <row r="21" spans="2:3" x14ac:dyDescent="0.45">
      <c r="B21"/>
      <c r="C21"/>
    </row>
    <row r="22" spans="2:3" x14ac:dyDescent="0.45">
      <c r="B22"/>
      <c r="C22"/>
    </row>
  </sheetData>
  <dataValidations count="2">
    <dataValidation type="list" allowBlank="1" showInputMessage="1" showErrorMessage="1" sqref="A2:A9" xr:uid="{00000000-0002-0000-0600-000000000000}">
      <formula1>$B$42:$B$53</formula1>
    </dataValidation>
    <dataValidation type="list" allowBlank="1" showInputMessage="1" showErrorMessage="1" sqref="A10:A1048576" xr:uid="{00000000-0002-0000-0600-000001000000}">
      <formula1>#REF!</formula1>
    </dataValidation>
  </dataValidations>
  <pageMargins left="0.7" right="0.7" top="0.75" bottom="0.75" header="0.3" footer="0.3"/>
  <pageSetup orientation="portrait" horizontalDpi="4294967293"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sheetPr>
  <dimension ref="A1:F10"/>
  <sheetViews>
    <sheetView zoomScale="90" zoomScaleNormal="90" workbookViewId="0">
      <selection activeCell="C5" sqref="C5"/>
    </sheetView>
  </sheetViews>
  <sheetFormatPr defaultColWidth="8.7265625" defaultRowHeight="16" x14ac:dyDescent="0.45"/>
  <cols>
    <col min="1" max="1" width="16.36328125" style="4" bestFit="1" customWidth="1"/>
    <col min="2" max="2" width="48" style="4" customWidth="1"/>
    <col min="3" max="3" width="44" style="4" customWidth="1"/>
    <col min="4" max="4" width="10.90625" style="9" customWidth="1"/>
    <col min="5" max="5" width="14" style="4" customWidth="1"/>
    <col min="6" max="6" width="73.6328125" style="4" customWidth="1"/>
    <col min="7" max="16384" width="8.7265625" style="4"/>
  </cols>
  <sheetData>
    <row r="1" spans="1:6" s="106" customFormat="1" x14ac:dyDescent="0.45">
      <c r="B1" s="110" t="s">
        <v>14</v>
      </c>
      <c r="C1" s="110" t="s">
        <v>337</v>
      </c>
      <c r="D1" s="108" t="s">
        <v>93</v>
      </c>
      <c r="E1" s="110" t="s">
        <v>2</v>
      </c>
      <c r="F1" s="110" t="s">
        <v>331</v>
      </c>
    </row>
    <row r="2" spans="1:6" x14ac:dyDescent="0.45">
      <c r="B2" t="str">
        <f>'4. to port &amp; overseas transport'!B11</f>
        <v>cooled citrus</v>
      </c>
      <c r="C2" t="str">
        <f>'4. to port &amp; overseas transport'!C11</f>
        <v>[cooled packed citrus]</v>
      </c>
      <c r="D2" s="9">
        <v>1</v>
      </c>
      <c r="E2" s="4" t="s">
        <v>3</v>
      </c>
      <c r="F2" s="9"/>
    </row>
    <row r="3" spans="1:6" ht="32" x14ac:dyDescent="0.45">
      <c r="A3" s="4" t="s">
        <v>21</v>
      </c>
      <c r="B3" s="5" t="s">
        <v>107</v>
      </c>
      <c r="C3" s="16" t="s">
        <v>493</v>
      </c>
      <c r="D3" s="56">
        <f>(p_lin1*T_amb_storage+p_lin2)*2*(time_storage-SECT_storage)*24*3600/1000/3.6/capacity_pre_cooling</f>
        <v>1.0558709677419353E-2</v>
      </c>
      <c r="E3" s="4" t="s">
        <v>9</v>
      </c>
      <c r="F3" s="5" t="s">
        <v>353</v>
      </c>
    </row>
    <row r="4" spans="1:6" ht="48" x14ac:dyDescent="0.45">
      <c r="A4" s="4" t="s">
        <v>21</v>
      </c>
      <c r="B4" s="4" t="s">
        <v>57</v>
      </c>
      <c r="C4" s="4" t="s">
        <v>28</v>
      </c>
      <c r="D4" s="9" t="s">
        <v>28</v>
      </c>
      <c r="E4" s="4" t="s">
        <v>8</v>
      </c>
      <c r="F4" s="9" t="s">
        <v>355</v>
      </c>
    </row>
    <row r="5" spans="1:6" ht="32.5" thickBot="1" x14ac:dyDescent="0.5">
      <c r="A5" s="4" t="s">
        <v>21</v>
      </c>
      <c r="B5" s="4" t="s">
        <v>54</v>
      </c>
      <c r="C5" s="14" t="s">
        <v>485</v>
      </c>
      <c r="D5" s="69">
        <f>'3. pre-cooling'!D5</f>
        <v>1.5483870967741933E-5</v>
      </c>
      <c r="E5" s="4" t="s">
        <v>7</v>
      </c>
      <c r="F5" s="9" t="s">
        <v>354</v>
      </c>
    </row>
    <row r="6" spans="1:6" ht="16.5" thickTop="1" x14ac:dyDescent="0.45">
      <c r="B6" s="6"/>
    </row>
    <row r="7" spans="1:6" x14ac:dyDescent="0.45">
      <c r="B7" s="5"/>
    </row>
    <row r="8" spans="1:6" s="106" customFormat="1" x14ac:dyDescent="0.45">
      <c r="B8" s="110" t="s">
        <v>0</v>
      </c>
      <c r="C8" s="110" t="s">
        <v>337</v>
      </c>
      <c r="D8" s="108" t="s">
        <v>93</v>
      </c>
      <c r="E8" s="110" t="s">
        <v>2</v>
      </c>
      <c r="F8" s="110" t="s">
        <v>331</v>
      </c>
    </row>
    <row r="9" spans="1:6" x14ac:dyDescent="0.45">
      <c r="A9" s="4" t="s">
        <v>319</v>
      </c>
      <c r="B9" s="4" t="s">
        <v>16</v>
      </c>
      <c r="C9" s="4" t="s">
        <v>112</v>
      </c>
      <c r="D9" s="9">
        <v>1</v>
      </c>
      <c r="E9" s="4" t="s">
        <v>3</v>
      </c>
    </row>
    <row r="10" spans="1:6" x14ac:dyDescent="0.45">
      <c r="F10" s="6"/>
    </row>
  </sheetData>
  <dataValidations count="1">
    <dataValidation type="list" allowBlank="1" showInputMessage="1" showErrorMessage="1" sqref="A2:A8 A10:A1048576" xr:uid="{00000000-0002-0000-0700-000000000000}">
      <formula1>#REF!</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5"/>
  </sheetPr>
  <dimension ref="A1:F28"/>
  <sheetViews>
    <sheetView zoomScale="90" zoomScaleNormal="90" workbookViewId="0">
      <selection activeCell="C16" sqref="C16"/>
    </sheetView>
  </sheetViews>
  <sheetFormatPr defaultColWidth="8.7265625" defaultRowHeight="16" x14ac:dyDescent="0.45"/>
  <cols>
    <col min="1" max="1" width="16.36328125" style="4" bestFit="1" customWidth="1"/>
    <col min="2" max="2" width="48" style="4" customWidth="1"/>
    <col min="3" max="3" width="52.90625" style="4" bestFit="1" customWidth="1"/>
    <col min="4" max="4" width="10.90625" style="4" customWidth="1"/>
    <col min="5" max="5" width="14" style="4" customWidth="1"/>
    <col min="6" max="6" width="79.1796875" style="4" customWidth="1"/>
    <col min="7" max="16384" width="8.7265625" style="4"/>
  </cols>
  <sheetData>
    <row r="1" spans="1:6" s="106" customFormat="1" x14ac:dyDescent="0.45">
      <c r="B1" s="110" t="s">
        <v>14</v>
      </c>
      <c r="C1" s="110" t="s">
        <v>337</v>
      </c>
      <c r="D1" s="108" t="s">
        <v>93</v>
      </c>
      <c r="E1" s="110" t="s">
        <v>2</v>
      </c>
      <c r="F1" s="110" t="s">
        <v>331</v>
      </c>
    </row>
    <row r="2" spans="1:6" x14ac:dyDescent="0.45">
      <c r="B2" s="4" t="str">
        <f>'5. storage'!B9</f>
        <v>storaged citrus</v>
      </c>
      <c r="C2" s="4" t="str">
        <f>'5. storage'!C9</f>
        <v>[stored packed citrus]</v>
      </c>
      <c r="D2" s="40">
        <f>D14+D15+D16</f>
        <v>1.115</v>
      </c>
      <c r="E2" s="4" t="s">
        <v>3</v>
      </c>
      <c r="F2" s="4" t="s">
        <v>155</v>
      </c>
    </row>
    <row r="3" spans="1:6" ht="32" x14ac:dyDescent="0.45">
      <c r="A3" s="4" t="s">
        <v>21</v>
      </c>
      <c r="B3" s="4" t="s">
        <v>141</v>
      </c>
      <c r="C3" s="16" t="s">
        <v>493</v>
      </c>
      <c r="D3" s="40">
        <f>storage_energy_at_retail*time_retail</f>
        <v>3.7499999999999999E-3</v>
      </c>
      <c r="E3" s="4" t="s">
        <v>9</v>
      </c>
      <c r="F3" s="5" t="s">
        <v>361</v>
      </c>
    </row>
    <row r="4" spans="1:6" ht="16" customHeight="1" x14ac:dyDescent="0.45">
      <c r="A4" s="4" t="s">
        <v>21</v>
      </c>
      <c r="B4" s="9" t="s">
        <v>109</v>
      </c>
      <c r="C4" s="4" t="s">
        <v>494</v>
      </c>
      <c r="D4" s="40">
        <f>1/1000*transport_to_retail</f>
        <v>7.2999999999999995E-2</v>
      </c>
      <c r="E4" s="4" t="s">
        <v>8</v>
      </c>
      <c r="F4" s="9" t="s">
        <v>362</v>
      </c>
    </row>
    <row r="5" spans="1:6" ht="64" x14ac:dyDescent="0.45">
      <c r="A5" s="4" t="s">
        <v>21</v>
      </c>
      <c r="B5" s="4" t="s">
        <v>55</v>
      </c>
      <c r="C5" s="14" t="s">
        <v>485</v>
      </c>
      <c r="D5" s="54">
        <f>((box_length*box_width)/fruit_per_carton_weight)/(retail_size*retail_lifetime)</f>
        <v>1.4607425441265977E-7</v>
      </c>
      <c r="E5" s="4" t="s">
        <v>7</v>
      </c>
      <c r="F5" s="16" t="s">
        <v>360</v>
      </c>
    </row>
    <row r="6" spans="1:6" ht="32" x14ac:dyDescent="0.45">
      <c r="A6" s="4" t="s">
        <v>21</v>
      </c>
      <c r="B6" s="9" t="s">
        <v>358</v>
      </c>
      <c r="C6" s="14" t="s">
        <v>177</v>
      </c>
      <c r="D6" s="60" t="s">
        <v>28</v>
      </c>
      <c r="E6" s="14"/>
      <c r="F6" s="16" t="s">
        <v>359</v>
      </c>
    </row>
    <row r="7" spans="1:6" x14ac:dyDescent="0.45">
      <c r="C7" s="14"/>
      <c r="D7" s="14"/>
      <c r="E7" s="14"/>
      <c r="F7" s="14"/>
    </row>
    <row r="8" spans="1:6" x14ac:dyDescent="0.45">
      <c r="B8" s="3"/>
    </row>
    <row r="9" spans="1:6" x14ac:dyDescent="0.45">
      <c r="B9" s="3"/>
    </row>
    <row r="10" spans="1:6" x14ac:dyDescent="0.45">
      <c r="B10" s="3"/>
    </row>
    <row r="11" spans="1:6" x14ac:dyDescent="0.45">
      <c r="B11" s="3"/>
    </row>
    <row r="12" spans="1:6" x14ac:dyDescent="0.45">
      <c r="B12" s="7"/>
    </row>
    <row r="13" spans="1:6" s="106" customFormat="1" x14ac:dyDescent="0.45">
      <c r="B13" s="110" t="s">
        <v>0</v>
      </c>
      <c r="C13" s="110" t="s">
        <v>337</v>
      </c>
      <c r="D13" s="108" t="s">
        <v>93</v>
      </c>
      <c r="E13" s="110" t="s">
        <v>2</v>
      </c>
      <c r="F13" s="110" t="s">
        <v>331</v>
      </c>
    </row>
    <row r="14" spans="1:6" x14ac:dyDescent="0.45">
      <c r="A14" s="4" t="s">
        <v>319</v>
      </c>
      <c r="B14" s="4" t="s">
        <v>17</v>
      </c>
      <c r="C14" s="4" t="s">
        <v>132</v>
      </c>
      <c r="D14" s="4">
        <v>1</v>
      </c>
      <c r="E14" s="4" t="s">
        <v>3</v>
      </c>
      <c r="F14" s="9"/>
    </row>
    <row r="15" spans="1:6" customFormat="1" x14ac:dyDescent="0.45">
      <c r="A15" s="4" t="s">
        <v>22</v>
      </c>
      <c r="B15" t="s">
        <v>153</v>
      </c>
      <c r="C15" s="8" t="s">
        <v>495</v>
      </c>
      <c r="D15" s="8">
        <f>0.074*RefProd_sold_citrus</f>
        <v>7.3999999999999996E-2</v>
      </c>
      <c r="E15" t="s">
        <v>3</v>
      </c>
      <c r="F15" t="s">
        <v>356</v>
      </c>
    </row>
    <row r="16" spans="1:6" ht="32" x14ac:dyDescent="0.45">
      <c r="A16" s="4" t="s">
        <v>22</v>
      </c>
      <c r="B16" s="4" t="s">
        <v>6</v>
      </c>
      <c r="C16" s="4" t="s">
        <v>496</v>
      </c>
      <c r="D16" s="4">
        <f>share_food_loss_retail*RefProd_sold_citrus</f>
        <v>4.1000000000000002E-2</v>
      </c>
      <c r="E16" s="4" t="s">
        <v>3</v>
      </c>
      <c r="F16" s="5" t="s">
        <v>357</v>
      </c>
    </row>
    <row r="17" spans="2:4" x14ac:dyDescent="0.45">
      <c r="D17" s="46"/>
    </row>
    <row r="28" spans="2:4" x14ac:dyDescent="0.45">
      <c r="B28" s="3"/>
    </row>
  </sheetData>
  <dataValidations count="1">
    <dataValidation type="list" allowBlank="1" showInputMessage="1" showErrorMessage="1" sqref="A2:A13 A15:A1048576" xr:uid="{00000000-0002-0000-0800-000000000000}">
      <formula1>#REF!</formula1>
    </dataValidation>
  </dataValidations>
  <pageMargins left="0.7" right="0.7" top="0.75" bottom="0.75" header="0.3" footer="0.3"/>
  <pageSetup orientation="portrait" horizontalDpi="4294967293"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5"/>
  </sheetPr>
  <dimension ref="A1:F22"/>
  <sheetViews>
    <sheetView zoomScaleNormal="100" workbookViewId="0">
      <selection activeCell="C15" sqref="C15"/>
    </sheetView>
  </sheetViews>
  <sheetFormatPr defaultColWidth="8.7265625" defaultRowHeight="16" x14ac:dyDescent="0.45"/>
  <cols>
    <col min="1" max="1" width="16.08984375" bestFit="1" customWidth="1"/>
    <col min="2" max="2" width="48" customWidth="1"/>
    <col min="3" max="3" width="44" customWidth="1"/>
    <col min="4" max="4" width="10.90625" style="8" customWidth="1"/>
    <col min="5" max="5" width="14" customWidth="1"/>
    <col min="6" max="6" width="66.453125" customWidth="1"/>
  </cols>
  <sheetData>
    <row r="1" spans="1:6" s="109" customFormat="1" x14ac:dyDescent="0.45">
      <c r="B1" s="107" t="s">
        <v>14</v>
      </c>
      <c r="C1" s="110" t="s">
        <v>337</v>
      </c>
      <c r="D1" s="108" t="s">
        <v>93</v>
      </c>
      <c r="E1" s="110" t="s">
        <v>2</v>
      </c>
      <c r="F1" s="110" t="s">
        <v>331</v>
      </c>
    </row>
    <row r="2" spans="1:6" ht="32" x14ac:dyDescent="0.45">
      <c r="A2" s="4" t="s">
        <v>21</v>
      </c>
      <c r="B2" s="4" t="str">
        <f>'6. retail'!B14</f>
        <v>sold citrus</v>
      </c>
      <c r="C2" s="4" t="str">
        <f>'6. retail'!C14</f>
        <v>[sold citrus]</v>
      </c>
      <c r="D2" s="66">
        <f>RefProd_consumed_citrus/(1-share_biowaste_consumer-shared_landfil_consumer)</f>
        <v>1.1363636363636365</v>
      </c>
      <c r="E2" t="s">
        <v>3</v>
      </c>
      <c r="F2" s="16" t="s">
        <v>133</v>
      </c>
    </row>
    <row r="3" spans="1:6" ht="48" x14ac:dyDescent="0.45">
      <c r="A3" s="4" t="s">
        <v>21</v>
      </c>
      <c r="B3" s="4" t="s">
        <v>20</v>
      </c>
      <c r="C3" s="8" t="s">
        <v>497</v>
      </c>
      <c r="D3" s="88">
        <f>transport_to_house*2* share_citrus_BoP_Food</f>
        <v>0.24</v>
      </c>
      <c r="E3" t="s">
        <v>51</v>
      </c>
      <c r="F3" s="9" t="s">
        <v>363</v>
      </c>
    </row>
    <row r="4" spans="1:6" x14ac:dyDescent="0.45">
      <c r="B4" s="7"/>
    </row>
    <row r="5" spans="1:6" x14ac:dyDescent="0.45">
      <c r="B5" s="3"/>
    </row>
    <row r="6" spans="1:6" s="109" customFormat="1" x14ac:dyDescent="0.45">
      <c r="B6" s="107" t="s">
        <v>0</v>
      </c>
      <c r="C6" s="110" t="s">
        <v>337</v>
      </c>
      <c r="D6" s="108" t="s">
        <v>93</v>
      </c>
      <c r="E6" s="110" t="s">
        <v>2</v>
      </c>
      <c r="F6" s="110" t="s">
        <v>331</v>
      </c>
    </row>
    <row r="7" spans="1:6" x14ac:dyDescent="0.45">
      <c r="A7" s="4" t="s">
        <v>319</v>
      </c>
      <c r="B7" t="s">
        <v>18</v>
      </c>
      <c r="C7" t="s">
        <v>19</v>
      </c>
      <c r="D7" s="8">
        <v>1</v>
      </c>
      <c r="E7" t="s">
        <v>3</v>
      </c>
    </row>
    <row r="8" spans="1:6" s="4" customFormat="1" ht="48" customHeight="1" x14ac:dyDescent="0.45">
      <c r="A8" s="4" t="s">
        <v>22</v>
      </c>
      <c r="B8" s="4" t="s">
        <v>6</v>
      </c>
      <c r="C8" s="4" t="s">
        <v>498</v>
      </c>
      <c r="D8" s="59">
        <f>D2*shared_landfil_consumer</f>
        <v>6.2727272727272729E-2</v>
      </c>
      <c r="E8" s="4" t="s">
        <v>3</v>
      </c>
      <c r="F8" s="16"/>
    </row>
    <row r="9" spans="1:6" x14ac:dyDescent="0.45">
      <c r="A9" s="4" t="s">
        <v>22</v>
      </c>
      <c r="B9" s="4" t="s">
        <v>6</v>
      </c>
      <c r="C9" s="4" t="s">
        <v>496</v>
      </c>
      <c r="D9" s="59">
        <f>D2*share_biowaste_consumer</f>
        <v>7.3636363636363639E-2</v>
      </c>
      <c r="E9" t="s">
        <v>3</v>
      </c>
      <c r="F9" s="16"/>
    </row>
    <row r="10" spans="1:6" x14ac:dyDescent="0.45">
      <c r="F10" s="16"/>
    </row>
    <row r="16" spans="1:6" x14ac:dyDescent="0.45">
      <c r="B16" s="4"/>
    </row>
    <row r="22" spans="2:2" x14ac:dyDescent="0.45">
      <c r="B22" s="3"/>
    </row>
  </sheetData>
  <dataValidations count="1">
    <dataValidation type="list" allowBlank="1" showInputMessage="1" showErrorMessage="1" sqref="A8:A10 A2:A6" xr:uid="{00000000-0002-0000-0900-000000000000}">
      <formula1>#REF!</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15</vt:i4>
      </vt:variant>
      <vt:variant>
        <vt:lpstr>Named Ranges</vt:lpstr>
      </vt:variant>
      <vt:variant>
        <vt:i4>58</vt:i4>
      </vt:variant>
    </vt:vector>
  </HeadingPairs>
  <TitlesOfParts>
    <vt:vector size="73" baseType="lpstr">
      <vt:lpstr>README</vt:lpstr>
      <vt:lpstr>refs.</vt:lpstr>
      <vt:lpstr>1. cultivation</vt:lpstr>
      <vt:lpstr>2. packaging &amp; palletization</vt:lpstr>
      <vt:lpstr>3. pre-cooling</vt:lpstr>
      <vt:lpstr>4. to port &amp; overseas transport</vt:lpstr>
      <vt:lpstr>5. storage</vt:lpstr>
      <vt:lpstr>6. retail</vt:lpstr>
      <vt:lpstr>7. consumption</vt:lpstr>
      <vt:lpstr>LCI parameters</vt:lpstr>
      <vt:lpstr>FAOSTAT_data_exports</vt:lpstr>
      <vt:lpstr>LCA results</vt:lpstr>
      <vt:lpstr>LCA results_weighting</vt:lpstr>
      <vt:lpstr>Pre-harvest contributions</vt:lpstr>
      <vt:lpstr>Post-harvest contributions</vt:lpstr>
      <vt:lpstr>box_length</vt:lpstr>
      <vt:lpstr>box_width</vt:lpstr>
      <vt:lpstr>capacity_pre_cooling</vt:lpstr>
      <vt:lpstr>carton_weight</vt:lpstr>
      <vt:lpstr>cartons_per_pallet</vt:lpstr>
      <vt:lpstr>citrus_input_oversea_transport</vt:lpstr>
      <vt:lpstr>Cp_fruit</vt:lpstr>
      <vt:lpstr>EC</vt:lpstr>
      <vt:lpstr>fruit_average_weight</vt:lpstr>
      <vt:lpstr>fruit_diameter</vt:lpstr>
      <vt:lpstr>fruit_per_carton_number</vt:lpstr>
      <vt:lpstr>fruit_per_carton_weight</vt:lpstr>
      <vt:lpstr>p_lin1</vt:lpstr>
      <vt:lpstr>p_lin2</vt:lpstr>
      <vt:lpstr>packhouse_lifetime</vt:lpstr>
      <vt:lpstr>packhouse_PV</vt:lpstr>
      <vt:lpstr>packhouse_size</vt:lpstr>
      <vt:lpstr>pallet_per_container</vt:lpstr>
      <vt:lpstr>pallet_per_pre_cooling</vt:lpstr>
      <vt:lpstr>pallet_weight</vt:lpstr>
      <vt:lpstr>RefProd_consumed_citrus</vt:lpstr>
      <vt:lpstr>RefProd_sold_citrus</vt:lpstr>
      <vt:lpstr>retail_lifetime</vt:lpstr>
      <vt:lpstr>retail_size</vt:lpstr>
      <vt:lpstr>SECT_pre_cooling</vt:lpstr>
      <vt:lpstr>SECT_shipment</vt:lpstr>
      <vt:lpstr>SECT_storage</vt:lpstr>
      <vt:lpstr>share_biowaste_consumer</vt:lpstr>
      <vt:lpstr>share_citrus_BoP_Food</vt:lpstr>
      <vt:lpstr>share_compost_packhouse</vt:lpstr>
      <vt:lpstr>share_food_loss_retail</vt:lpstr>
      <vt:lpstr>share_fresh</vt:lpstr>
      <vt:lpstr>share_orange</vt:lpstr>
      <vt:lpstr>share_processing</vt:lpstr>
      <vt:lpstr>shared_landfil_consumer</vt:lpstr>
      <vt:lpstr>storage_energy_at_retail</vt:lpstr>
      <vt:lpstr>stored_packed_citrus</vt:lpstr>
      <vt:lpstr>T_amb_port</vt:lpstr>
      <vt:lpstr>T_amb_shipment</vt:lpstr>
      <vt:lpstr>T_amb_storage</vt:lpstr>
      <vt:lpstr>Tf_pre_cooling</vt:lpstr>
      <vt:lpstr>Tf_storage</vt:lpstr>
      <vt:lpstr>Tf_to_port</vt:lpstr>
      <vt:lpstr>Ti_at_port</vt:lpstr>
      <vt:lpstr>Ti_pre_cooling</vt:lpstr>
      <vt:lpstr>Ti_storage</vt:lpstr>
      <vt:lpstr>time_pre_cooling</vt:lpstr>
      <vt:lpstr>time_retail</vt:lpstr>
      <vt:lpstr>time_shipment</vt:lpstr>
      <vt:lpstr>time_storage</vt:lpstr>
      <vt:lpstr>transport_packhouse</vt:lpstr>
      <vt:lpstr>transport_ship</vt:lpstr>
      <vt:lpstr>transport_to_house</vt:lpstr>
      <vt:lpstr>transport_to_port</vt:lpstr>
      <vt:lpstr>transport_to_retail</vt:lpstr>
      <vt:lpstr>wax_density</vt:lpstr>
      <vt:lpstr>wax_thickness</vt:lpstr>
      <vt:lpstr>wax_volume_per_fruit</vt:lpstr>
    </vt:vector>
  </TitlesOfParts>
  <Company>Empa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Crenna, Eleonora</dc:creator>
  <cp:lastModifiedBy>Onwude, Daniel</cp:lastModifiedBy>
  <dcterms:created xsi:type="dcterms:W3CDTF">2022-02-18T15:08:58Z</dcterms:created>
  <dcterms:modified xsi:type="dcterms:W3CDTF">2024-12-22T10:58:43Z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856192173</vt:i4>
  </property>
  <property fmtid="{D5CDD505-2E9C-101B-9397-08002B2CF9AE}" pid="3" name="_NewReviewCycle">
    <vt:lpwstr/>
  </property>
  <property fmtid="{D5CDD505-2E9C-101B-9397-08002B2CF9AE}" pid="4" name="_EmailSubject">
    <vt:lpwstr>RE: Paper on LCA</vt:lpwstr>
  </property>
  <property fmtid="{D5CDD505-2E9C-101B-9397-08002B2CF9AE}" pid="5" name="_AuthorEmail">
    <vt:lpwstr>eleonora.crenna@hevs.ch</vt:lpwstr>
  </property>
  <property fmtid="{D5CDD505-2E9C-101B-9397-08002B2CF9AE}" pid="6" name="_AuthorEmailDisplayName">
    <vt:lpwstr>Crenna Eleonora</vt:lpwstr>
  </property>
  <property fmtid="{D5CDD505-2E9C-101B-9397-08002B2CF9AE}" pid="7" name="_ReviewingToolsShownOnce">
    <vt:lpwstr/>
  </property>
</Properties>
</file>